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736" windowHeight="11160" tabRatio="899" firstSheet="20" activeTab="25"/>
  </bookViews>
  <sheets>
    <sheet name="INSERÇÃO-DE-DADOS" sheetId="11" r:id="rId1"/>
    <sheet name="DADOS-ESTATISTICOS" sheetId="14" r:id="rId2"/>
    <sheet name="ENCARGOS-SOCIAIS-E-TRABALHISTAS" sheetId="12" r:id="rId3"/>
    <sheet name="POSTO 12x36 HORAS - DIURNO BEL" sheetId="2" r:id="rId4"/>
    <sheet name="POSTO 12x36 HORAS - NOTURNO BEL" sheetId="7" r:id="rId5"/>
    <sheet name="POSTO 44 HORAS BEL" sheetId="9" r:id="rId6"/>
    <sheet name="LIMITES-SEGES" sheetId="13" state="hidden" r:id="rId7"/>
    <sheet name="POSTO 12x36 HORAS - DIURNO (STM" sheetId="16" r:id="rId8"/>
    <sheet name="POSTO 12x36 HORAS - NOTURNO STM" sheetId="17" r:id="rId9"/>
    <sheet name="POSTO 44 HORAS (STM)" sheetId="18" r:id="rId10"/>
    <sheet name="POSTO 12x36 HORAS - DIURNO TUU" sheetId="38" r:id="rId11"/>
    <sheet name="POSTO 12x36 HORAS - NOTURNO TUU" sheetId="39" r:id="rId12"/>
    <sheet name="POSTO 12x36 HORAS - DIURNO RDO" sheetId="23" r:id="rId13"/>
    <sheet name="POSTO 12x36 HORAS - NOTURNO RDO" sheetId="24" r:id="rId14"/>
    <sheet name="POSTO 12x36 HORAS - DIURNO PGN" sheetId="25" r:id="rId15"/>
    <sheet name="POSTO 12x36 HORAS - NOTURNO PGN" sheetId="26" r:id="rId16"/>
    <sheet name="POSTO 12x36 HORAS - DIURNO MAB" sheetId="27" r:id="rId17"/>
    <sheet name="POSTO 12x36 HORAS - NOTURNO MAB" sheetId="28" r:id="rId18"/>
    <sheet name="POSTO 12x36 HORAS - DIURNO ITA" sheetId="29" r:id="rId19"/>
    <sheet name="POSTO 12x36 HORAS - NOTURNO ITA" sheetId="30" r:id="rId20"/>
    <sheet name="POSTO 12x36 HORAS - DIURNO ATM" sheetId="31" r:id="rId21"/>
    <sheet name="POSTO 12x36 HORAS - NOTURNO ATM" sheetId="32" r:id="rId22"/>
    <sheet name="POSTO 44 HORAS ATM" sheetId="33" r:id="rId23"/>
    <sheet name="POSTO 12x36 HORAS - DIURNO (CAS" sheetId="35" r:id="rId24"/>
    <sheet name="POSTO 12x36 HORAS - NOTU - CAST" sheetId="36" r:id="rId25"/>
    <sheet name="QUADRO-RESUMO" sheetId="10" r:id="rId26"/>
  </sheets>
  <externalReferences>
    <externalReference r:id="rId27"/>
  </externalReferences>
  <definedNames>
    <definedName name="A">'POSTO 12x36 HORAS - NOTURNO ATM'!$F$24</definedName>
    <definedName name="ACORDO_COLETIVO">'INSERÇÃO-DE-DADOS'!$F$13</definedName>
    <definedName name="AL_1_A_SAL_BASE_12X36_DIU" localSheetId="23">'POSTO 12x36 HORAS - DIURNO (CAS'!$F$24</definedName>
    <definedName name="AL_1_A_SAL_BASE_12X36_DIU" localSheetId="7">'POSTO 12x36 HORAS - DIURNO (STM'!$F$24</definedName>
    <definedName name="AL_1_A_SAL_BASE_12X36_DIU" localSheetId="20">'POSTO 12x36 HORAS - DIURNO ATM'!$F$24</definedName>
    <definedName name="AL_1_A_SAL_BASE_12X36_DIU" localSheetId="18">'POSTO 12x36 HORAS - DIURNO ITA'!$F$24</definedName>
    <definedName name="AL_1_A_SAL_BASE_12X36_DIU" localSheetId="16">'POSTO 12x36 HORAS - DIURNO MAB'!$F$24</definedName>
    <definedName name="AL_1_A_SAL_BASE_12X36_DIU" localSheetId="14">'POSTO 12x36 HORAS - DIURNO PGN'!$F$24</definedName>
    <definedName name="AL_1_A_SAL_BASE_12X36_DIU" localSheetId="12">'POSTO 12x36 HORAS - DIURNO RDO'!$F$24</definedName>
    <definedName name="AL_1_A_SAL_BASE_12X36_DIU" localSheetId="10">'POSTO 12x36 HORAS - DIURNO TUU'!$F$24</definedName>
    <definedName name="AL_1_A_SAL_BASE_12X36_DIU">'POSTO 12x36 HORAS - DIURNO BEL'!$F$24</definedName>
    <definedName name="AL_1_A_SAL_BASE_12X36_NOT" localSheetId="24">'POSTO 12x36 HORAS - NOTU - CAST'!$F$22</definedName>
    <definedName name="AL_1_A_SAL_BASE_12X36_NOT" localSheetId="21">'POSTO 12x36 HORAS - NOTURNO ATM'!$F$22</definedName>
    <definedName name="AL_1_A_SAL_BASE_12X36_NOT" localSheetId="19">'POSTO 12x36 HORAS - NOTURNO ITA'!$F$22</definedName>
    <definedName name="AL_1_A_SAL_BASE_12X36_NOT" localSheetId="17">'POSTO 12x36 HORAS - NOTURNO MAB'!$F$22</definedName>
    <definedName name="AL_1_A_SAL_BASE_12X36_NOT" localSheetId="15">'POSTO 12x36 HORAS - NOTURNO PGN'!$F$22</definedName>
    <definedName name="AL_1_A_SAL_BASE_12X36_NOT" localSheetId="13">'POSTO 12x36 HORAS - NOTURNO RDO'!$F$22</definedName>
    <definedName name="AL_1_A_SAL_BASE_12X36_NOT" localSheetId="8">'POSTO 12x36 HORAS - NOTURNO STM'!$F$22</definedName>
    <definedName name="AL_1_A_SAL_BASE_12X36_NOT" localSheetId="11">'POSTO 12x36 HORAS - NOTURNO TUU'!$F$22</definedName>
    <definedName name="AL_1_A_SAL_BASE_12X36_NOT">'POSTO 12x36 HORAS - NOTURNO BEL'!$F$22</definedName>
    <definedName name="AL_1_A_SAL_BASE_44H" localSheetId="9">'POSTO 44 HORAS (STM)'!$F$24</definedName>
    <definedName name="AL_1_A_SAL_BASE_44H" localSheetId="22">'POSTO 44 HORAS ATM'!$F$24</definedName>
    <definedName name="AL_1_A_SAL_BASE_44H">'POSTO 44 HORAS BEL'!$F$24</definedName>
    <definedName name="AL_1_B_ADIC_PERIC_12X36_DIU" localSheetId="23">'POSTO 12x36 HORAS - DIURNO (CAS'!$F$25</definedName>
    <definedName name="AL_1_B_ADIC_PERIC_12X36_DIU" localSheetId="7">'POSTO 12x36 HORAS - DIURNO (STM'!$F$25</definedName>
    <definedName name="AL_1_B_ADIC_PERIC_12X36_DIU" localSheetId="20">'POSTO 12x36 HORAS - DIURNO ATM'!$F$25</definedName>
    <definedName name="AL_1_B_ADIC_PERIC_12X36_DIU" localSheetId="18">'POSTO 12x36 HORAS - DIURNO ITA'!$F$25</definedName>
    <definedName name="AL_1_B_ADIC_PERIC_12X36_DIU" localSheetId="16">'POSTO 12x36 HORAS - DIURNO MAB'!$F$25</definedName>
    <definedName name="AL_1_B_ADIC_PERIC_12X36_DIU" localSheetId="14">'POSTO 12x36 HORAS - DIURNO PGN'!$F$25</definedName>
    <definedName name="AL_1_B_ADIC_PERIC_12X36_DIU" localSheetId="12">'POSTO 12x36 HORAS - DIURNO RDO'!$F$25</definedName>
    <definedName name="AL_1_B_ADIC_PERIC_12X36_DIU" localSheetId="10">'POSTO 12x36 HORAS - DIURNO TUU'!$F$25</definedName>
    <definedName name="AL_1_B_ADIC_PERIC_12X36_DIU">'POSTO 12x36 HORAS - DIURNO BEL'!$F$25</definedName>
    <definedName name="AL_1_B_ADIC_PERIC_12X36_NOT" localSheetId="24">'POSTO 12x36 HORAS - NOTU - CAST'!$F$23</definedName>
    <definedName name="AL_1_B_ADIC_PERIC_12X36_NOT" localSheetId="21">'POSTO 12x36 HORAS - NOTURNO ATM'!$F$23</definedName>
    <definedName name="AL_1_B_ADIC_PERIC_12X36_NOT" localSheetId="19">'POSTO 12x36 HORAS - NOTURNO ITA'!$F$23</definedName>
    <definedName name="AL_1_B_ADIC_PERIC_12X36_NOT" localSheetId="17">'POSTO 12x36 HORAS - NOTURNO MAB'!$F$23</definedName>
    <definedName name="AL_1_B_ADIC_PERIC_12X36_NOT" localSheetId="15">'POSTO 12x36 HORAS - NOTURNO PGN'!$F$23</definedName>
    <definedName name="AL_1_B_ADIC_PERIC_12X36_NOT" localSheetId="13">'POSTO 12x36 HORAS - NOTURNO RDO'!$F$23</definedName>
    <definedName name="AL_1_B_ADIC_PERIC_12X36_NOT" localSheetId="8">'POSTO 12x36 HORAS - NOTURNO STM'!$F$23</definedName>
    <definedName name="AL_1_B_ADIC_PERIC_12X36_NOT" localSheetId="11">'POSTO 12x36 HORAS - NOTURNO TUU'!$F$23</definedName>
    <definedName name="AL_1_B_ADIC_PERIC_12X36_NOT">'POSTO 12x36 HORAS - NOTURNO BEL'!$F$23</definedName>
    <definedName name="AL_1_B_ADIC_PERIC_44H" localSheetId="9">'POSTO 44 HORAS (STM)'!$F$25</definedName>
    <definedName name="AL_1_B_ADIC_PERIC_44H" localSheetId="22">'POSTO 44 HORAS ATM'!$F$25</definedName>
    <definedName name="AL_1_B_ADIC_PERIC_44H">'POSTO 44 HORAS BEL'!$F$25</definedName>
    <definedName name="AL_1_C_ADIC_NOT_12X36_NOT" localSheetId="24">'POSTO 12x36 HORAS - NOTU - CAST'!$F$24</definedName>
    <definedName name="AL_1_C_ADIC_NOT_12X36_NOT" localSheetId="21">'POSTO 12x36 HORAS - NOTURNO ATM'!$F$24</definedName>
    <definedName name="AL_1_C_ADIC_NOT_12X36_NOT" localSheetId="19">'POSTO 12x36 HORAS - NOTURNO ITA'!$F$24</definedName>
    <definedName name="AL_1_C_ADIC_NOT_12X36_NOT" localSheetId="17">'POSTO 12x36 HORAS - NOTURNO MAB'!$F$24</definedName>
    <definedName name="AL_1_C_ADIC_NOT_12X36_NOT" localSheetId="15">'POSTO 12x36 HORAS - NOTURNO PGN'!$F$24</definedName>
    <definedName name="AL_1_C_ADIC_NOT_12X36_NOT" localSheetId="13">'POSTO 12x36 HORAS - NOTURNO RDO'!$F$24</definedName>
    <definedName name="AL_1_C_ADIC_NOT_12X36_NOT" localSheetId="8">'POSTO 12x36 HORAS - NOTURNO STM'!$F$24</definedName>
    <definedName name="AL_1_C_ADIC_NOT_12X36_NOT" localSheetId="11">'POSTO 12x36 HORAS - NOTURNO TUU'!$F$24</definedName>
    <definedName name="AL_1_C_ADIC_NOT_12X36_NOT">'POSTO 12x36 HORAS - NOTURNO BEL'!$F$24</definedName>
    <definedName name="AL_1_D_ADIC_NOT_RED_12X36_NOT" localSheetId="24">'POSTO 12x36 HORAS - NOTU - CAST'!$F$25</definedName>
    <definedName name="AL_1_D_ADIC_NOT_RED_12X36_NOT" localSheetId="21">'POSTO 12x36 HORAS - NOTURNO ATM'!$F$25</definedName>
    <definedName name="AL_1_D_ADIC_NOT_RED_12X36_NOT" localSheetId="19">'POSTO 12x36 HORAS - NOTURNO ITA'!$F$25</definedName>
    <definedName name="AL_1_D_ADIC_NOT_RED_12X36_NOT" localSheetId="17">'POSTO 12x36 HORAS - NOTURNO MAB'!$F$25</definedName>
    <definedName name="AL_1_D_ADIC_NOT_RED_12X36_NOT" localSheetId="15">'POSTO 12x36 HORAS - NOTURNO PGN'!$F$25</definedName>
    <definedName name="AL_1_D_ADIC_NOT_RED_12X36_NOT" localSheetId="13">'POSTO 12x36 HORAS - NOTURNO RDO'!$F$25</definedName>
    <definedName name="AL_1_D_ADIC_NOT_RED_12X36_NOT" localSheetId="8">'POSTO 12x36 HORAS - NOTURNO STM'!$F$25</definedName>
    <definedName name="AL_1_D_ADIC_NOT_RED_12X36_NOT" localSheetId="11">'POSTO 12x36 HORAS - NOTURNO TUU'!$F$25</definedName>
    <definedName name="AL_1_D_ADIC_NOT_RED_12X36_NOT">'POSTO 12x36 HORAS - NOTURNO BEL'!$F$25</definedName>
    <definedName name="AL_1_E_OUTROS_REM_12X36_NOT" localSheetId="23">'POSTO 12x36 HORAS - NOTURNO BEL'!#REF!</definedName>
    <definedName name="AL_1_E_OUTROS_REM_12X36_NOT" localSheetId="7">'POSTO 12x36 HORAS - NOTURNO BEL'!#REF!</definedName>
    <definedName name="AL_1_E_OUTROS_REM_12X36_NOT" localSheetId="20">'POSTO 12x36 HORAS - NOTURNO BEL'!#REF!</definedName>
    <definedName name="AL_1_E_OUTROS_REM_12X36_NOT" localSheetId="18">'POSTO 12x36 HORAS - NOTURNO BEL'!#REF!</definedName>
    <definedName name="AL_1_E_OUTROS_REM_12X36_NOT" localSheetId="16">'POSTO 12x36 HORAS - NOTURNO BEL'!#REF!</definedName>
    <definedName name="AL_1_E_OUTROS_REM_12X36_NOT" localSheetId="14">'POSTO 12x36 HORAS - NOTURNO BEL'!#REF!</definedName>
    <definedName name="AL_1_E_OUTROS_REM_12X36_NOT" localSheetId="12">'POSTO 12x36 HORAS - NOTURNO BEL'!#REF!</definedName>
    <definedName name="AL_1_E_OUTROS_REM_12X36_NOT" localSheetId="10">'POSTO 12x36 HORAS - NOTURNO BEL'!#REF!</definedName>
    <definedName name="AL_1_E_OUTROS_REM_12X36_NOT" localSheetId="24">'POSTO 12x36 HORAS - NOTU - CAST'!#REF!</definedName>
    <definedName name="AL_1_E_OUTROS_REM_12X36_NOT" localSheetId="21">'POSTO 12x36 HORAS - NOTURNO ATM'!#REF!</definedName>
    <definedName name="AL_1_E_OUTROS_REM_12X36_NOT" localSheetId="19">'POSTO 12x36 HORAS - NOTURNO ITA'!#REF!</definedName>
    <definedName name="AL_1_E_OUTROS_REM_12X36_NOT" localSheetId="17">'POSTO 12x36 HORAS - NOTURNO MAB'!#REF!</definedName>
    <definedName name="AL_1_E_OUTROS_REM_12X36_NOT" localSheetId="15">'POSTO 12x36 HORAS - NOTURNO PGN'!#REF!</definedName>
    <definedName name="AL_1_E_OUTROS_REM_12X36_NOT" localSheetId="13">'POSTO 12x36 HORAS - NOTURNO RDO'!#REF!</definedName>
    <definedName name="AL_1_E_OUTROS_REM_12X36_NOT" localSheetId="8">'POSTO 12x36 HORAS - NOTURNO STM'!#REF!</definedName>
    <definedName name="AL_1_E_OUTROS_REM_12X36_NOT" localSheetId="11">'POSTO 12x36 HORAS - NOTURNO TUU'!#REF!</definedName>
    <definedName name="AL_1_E_OUTROS_REM_12X36_NOT" localSheetId="9">'POSTO 12x36 HORAS - NOTURNO BEL'!#REF!</definedName>
    <definedName name="AL_1_E_OUTROS_REM_12X36_NOT" localSheetId="22">'POSTO 12x36 HORAS - NOTURNO BEL'!#REF!</definedName>
    <definedName name="AL_1_E_OUTROS_REM_12X36_NOT">'POSTO 12x36 HORAS - NOTURNO BEL'!#REF!</definedName>
    <definedName name="AL_2_1_A_DEC_TERC_12X36_DIU" localSheetId="23">'POSTO 12x36 HORAS - DIURNO (CAS'!$F$32</definedName>
    <definedName name="AL_2_1_A_DEC_TERC_12X36_DIU" localSheetId="7">'POSTO 12x36 HORAS - DIURNO (STM'!$F$32</definedName>
    <definedName name="AL_2_1_A_DEC_TERC_12X36_DIU" localSheetId="20">'POSTO 12x36 HORAS - DIURNO ATM'!$F$32</definedName>
    <definedName name="AL_2_1_A_DEC_TERC_12X36_DIU" localSheetId="18">'POSTO 12x36 HORAS - DIURNO ITA'!$F$32</definedName>
    <definedName name="AL_2_1_A_DEC_TERC_12X36_DIU" localSheetId="16">'POSTO 12x36 HORAS - DIURNO MAB'!$F$32</definedName>
    <definedName name="AL_2_1_A_DEC_TERC_12X36_DIU" localSheetId="14">'POSTO 12x36 HORAS - DIURNO PGN'!$F$32</definedName>
    <definedName name="AL_2_1_A_DEC_TERC_12X36_DIU" localSheetId="12">'POSTO 12x36 HORAS - DIURNO RDO'!$F$32</definedName>
    <definedName name="AL_2_1_A_DEC_TERC_12X36_DIU" localSheetId="10">'POSTO 12x36 HORAS - DIURNO TUU'!$F$32</definedName>
    <definedName name="AL_2_1_A_DEC_TERC_12X36_DIU">'POSTO 12x36 HORAS - DIURNO BEL'!$F$32</definedName>
    <definedName name="AL_2_1_A_DEC_TERC_12X36_NOT" localSheetId="24">'POSTO 12x36 HORAS - NOTU - CAST'!$F$32</definedName>
    <definedName name="AL_2_1_A_DEC_TERC_12X36_NOT" localSheetId="21">'POSTO 12x36 HORAS - NOTURNO ATM'!$F$32</definedName>
    <definedName name="AL_2_1_A_DEC_TERC_12X36_NOT" localSheetId="19">'POSTO 12x36 HORAS - NOTURNO ITA'!$F$32</definedName>
    <definedName name="AL_2_1_A_DEC_TERC_12X36_NOT" localSheetId="17">'POSTO 12x36 HORAS - NOTURNO MAB'!$F$32</definedName>
    <definedName name="AL_2_1_A_DEC_TERC_12X36_NOT" localSheetId="15">'POSTO 12x36 HORAS - NOTURNO PGN'!$F$32</definedName>
    <definedName name="AL_2_1_A_DEC_TERC_12X36_NOT" localSheetId="13">'POSTO 12x36 HORAS - NOTURNO RDO'!$F$32</definedName>
    <definedName name="AL_2_1_A_DEC_TERC_12X36_NOT" localSheetId="8">'POSTO 12x36 HORAS - NOTURNO STM'!$F$32</definedName>
    <definedName name="AL_2_1_A_DEC_TERC_12X36_NOT" localSheetId="11">'POSTO 12x36 HORAS - NOTURNO TUU'!$F$32</definedName>
    <definedName name="AL_2_1_A_DEC_TERC_12X36_NOT">'POSTO 12x36 HORAS - NOTURNO BEL'!$F$32</definedName>
    <definedName name="AL_2_1_B_ADIC_FERIAS_12X36_DIU" localSheetId="23">'POSTO 12x36 HORAS - DIURNO (CAS'!$F$33</definedName>
    <definedName name="AL_2_1_B_ADIC_FERIAS_12X36_DIU" localSheetId="7">'POSTO 12x36 HORAS - DIURNO (STM'!$F$33</definedName>
    <definedName name="AL_2_1_B_ADIC_FERIAS_12X36_DIU" localSheetId="20">'POSTO 12x36 HORAS - DIURNO ATM'!$F$33</definedName>
    <definedName name="AL_2_1_B_ADIC_FERIAS_12X36_DIU" localSheetId="18">'POSTO 12x36 HORAS - DIURNO ITA'!$F$33</definedName>
    <definedName name="AL_2_1_B_ADIC_FERIAS_12X36_DIU" localSheetId="16">'POSTO 12x36 HORAS - DIURNO MAB'!$F$33</definedName>
    <definedName name="AL_2_1_B_ADIC_FERIAS_12X36_DIU" localSheetId="14">'POSTO 12x36 HORAS - DIURNO PGN'!$F$33</definedName>
    <definedName name="AL_2_1_B_ADIC_FERIAS_12X36_DIU" localSheetId="12">'POSTO 12x36 HORAS - DIURNO RDO'!$F$33</definedName>
    <definedName name="AL_2_1_B_ADIC_FERIAS_12X36_DIU" localSheetId="10">'POSTO 12x36 HORAS - DIURNO TUU'!$F$33</definedName>
    <definedName name="AL_2_1_B_ADIC_FERIAS_12X36_DIU">'POSTO 12x36 HORAS - DIURNO BEL'!$F$33</definedName>
    <definedName name="AL_2_1_B_ADIC_FERIAS_12X36_NOT" localSheetId="24">'POSTO 12x36 HORAS - NOTU - CAST'!$F$33</definedName>
    <definedName name="AL_2_1_B_ADIC_FERIAS_12X36_NOT" localSheetId="21">'POSTO 12x36 HORAS - NOTURNO ATM'!$F$33</definedName>
    <definedName name="AL_2_1_B_ADIC_FERIAS_12X36_NOT" localSheetId="19">'POSTO 12x36 HORAS - NOTURNO ITA'!$F$33</definedName>
    <definedName name="AL_2_1_B_ADIC_FERIAS_12X36_NOT" localSheetId="17">'POSTO 12x36 HORAS - NOTURNO MAB'!$F$33</definedName>
    <definedName name="AL_2_1_B_ADIC_FERIAS_12X36_NOT" localSheetId="15">'POSTO 12x36 HORAS - NOTURNO PGN'!$F$33</definedName>
    <definedName name="AL_2_1_B_ADIC_FERIAS_12X36_NOT" localSheetId="13">'POSTO 12x36 HORAS - NOTURNO RDO'!$F$33</definedName>
    <definedName name="AL_2_1_B_ADIC_FERIAS_12X36_NOT" localSheetId="8">'POSTO 12x36 HORAS - NOTURNO STM'!$F$33</definedName>
    <definedName name="AL_2_1_B_ADIC_FERIAS_12X36_NOT" localSheetId="11">'POSTO 12x36 HORAS - NOTURNO TUU'!$F$33</definedName>
    <definedName name="AL_2_1_B_ADIC_FERIAS_12X36_NOT">'POSTO 12x36 HORAS - NOTURNO BEL'!$F$33</definedName>
    <definedName name="AL_2_2_FGTS_12X36_DIU" localSheetId="23">'POSTO 12x36 HORAS - DIURNO (CAS'!$F$44</definedName>
    <definedName name="AL_2_2_FGTS_12X36_DIU" localSheetId="7">'POSTO 12x36 HORAS - DIURNO (STM'!$F$44</definedName>
    <definedName name="AL_2_2_FGTS_12X36_DIU" localSheetId="20">'POSTO 12x36 HORAS - DIURNO ATM'!$F$44</definedName>
    <definedName name="AL_2_2_FGTS_12X36_DIU" localSheetId="18">'POSTO 12x36 HORAS - DIURNO ITA'!$F$44</definedName>
    <definedName name="AL_2_2_FGTS_12X36_DIU" localSheetId="16">'POSTO 12x36 HORAS - DIURNO MAB'!$F$44</definedName>
    <definedName name="AL_2_2_FGTS_12X36_DIU" localSheetId="14">'POSTO 12x36 HORAS - DIURNO PGN'!$F$44</definedName>
    <definedName name="AL_2_2_FGTS_12X36_DIU" localSheetId="12">'POSTO 12x36 HORAS - DIURNO RDO'!$F$44</definedName>
    <definedName name="AL_2_2_FGTS_12X36_DIU" localSheetId="10">'POSTO 12x36 HORAS - DIURNO TUU'!$F$44</definedName>
    <definedName name="AL_2_2_FGTS_12X36_DIU">'POSTO 12x36 HORAS - DIURNO BEL'!$F$44</definedName>
    <definedName name="AL_2_2_FGTS_12X36_NOT" localSheetId="24">'POSTO 12x36 HORAS - NOTU - CAST'!$F$44</definedName>
    <definedName name="AL_2_2_FGTS_12X36_NOT" localSheetId="21">'POSTO 12x36 HORAS - NOTURNO ATM'!$F$44</definedName>
    <definedName name="AL_2_2_FGTS_12X36_NOT" localSheetId="19">'POSTO 12x36 HORAS - NOTURNO ITA'!$F$44</definedName>
    <definedName name="AL_2_2_FGTS_12X36_NOT" localSheetId="17">'POSTO 12x36 HORAS - NOTURNO MAB'!$F$44</definedName>
    <definedName name="AL_2_2_FGTS_12X36_NOT" localSheetId="15">'POSTO 12x36 HORAS - NOTURNO PGN'!$F$44</definedName>
    <definedName name="AL_2_2_FGTS_12X36_NOT" localSheetId="13">'POSTO 12x36 HORAS - NOTURNO RDO'!$F$44</definedName>
    <definedName name="AL_2_2_FGTS_12X36_NOT" localSheetId="8">'POSTO 12x36 HORAS - NOTURNO STM'!$F$44</definedName>
    <definedName name="AL_2_2_FGTS_12X36_NOT" localSheetId="11">'POSTO 12x36 HORAS - NOTURNO TUU'!$F$44</definedName>
    <definedName name="AL_2_2_FGTS_12X36_NOT">'POSTO 12x36 HORAS - NOTURNO BEL'!$F$44</definedName>
    <definedName name="AL_2_2_FGTS_44H" localSheetId="9">'POSTO 44 HORAS (STM)'!$F$45</definedName>
    <definedName name="AL_2_2_FGTS_44H" localSheetId="22">'POSTO 44 HORAS ATM'!$F$45</definedName>
    <definedName name="AL_2_2_FGTS_44H">'POSTO 44 HORAS BEL'!$F$45</definedName>
    <definedName name="AL_2_3_A_TRANSP_12X36_DIU" localSheetId="23">'POSTO 12x36 HORAS - DIURNO (CAS'!$F$48</definedName>
    <definedName name="AL_2_3_A_TRANSP_12X36_DIU" localSheetId="7">'POSTO 12x36 HORAS - DIURNO (STM'!$F$48</definedName>
    <definedName name="AL_2_3_A_TRANSP_12X36_DIU" localSheetId="20">'POSTO 12x36 HORAS - DIURNO ATM'!$F$48</definedName>
    <definedName name="AL_2_3_A_TRANSP_12X36_DIU" localSheetId="18">'POSTO 12x36 HORAS - DIURNO ITA'!$F$48</definedName>
    <definedName name="AL_2_3_A_TRANSP_12X36_DIU" localSheetId="16">'POSTO 12x36 HORAS - DIURNO MAB'!$F$48</definedName>
    <definedName name="AL_2_3_A_TRANSP_12X36_DIU" localSheetId="14">'POSTO 12x36 HORAS - DIURNO PGN'!$F$48</definedName>
    <definedName name="AL_2_3_A_TRANSP_12X36_DIU" localSheetId="12">'POSTO 12x36 HORAS - DIURNO RDO'!$F$48</definedName>
    <definedName name="AL_2_3_A_TRANSP_12X36_DIU" localSheetId="10">'POSTO 12x36 HORAS - DIURNO TUU'!$F$48</definedName>
    <definedName name="AL_2_3_A_TRANSP_12X36_DIU">'POSTO 12x36 HORAS - DIURNO BEL'!$F$48</definedName>
    <definedName name="AL_2_3_A_TRANSP_12X36_NOT" localSheetId="24">'POSTO 12x36 HORAS - NOTU - CAST'!$F$48</definedName>
    <definedName name="AL_2_3_A_TRANSP_12X36_NOT" localSheetId="21">'POSTO 12x36 HORAS - NOTURNO ATM'!$F$48</definedName>
    <definedName name="AL_2_3_A_TRANSP_12X36_NOT" localSheetId="19">'POSTO 12x36 HORAS - NOTURNO ITA'!$F$48</definedName>
    <definedName name="AL_2_3_A_TRANSP_12X36_NOT" localSheetId="17">'POSTO 12x36 HORAS - NOTURNO MAB'!$F$48</definedName>
    <definedName name="AL_2_3_A_TRANSP_12X36_NOT" localSheetId="15">'POSTO 12x36 HORAS - NOTURNO PGN'!$F$48</definedName>
    <definedName name="AL_2_3_A_TRANSP_12X36_NOT" localSheetId="13">'POSTO 12x36 HORAS - NOTURNO RDO'!$F$48</definedName>
    <definedName name="AL_2_3_A_TRANSP_12X36_NOT" localSheetId="8">'POSTO 12x36 HORAS - NOTURNO STM'!$F$48</definedName>
    <definedName name="AL_2_3_A_TRANSP_12X36_NOT" localSheetId="11">'POSTO 12x36 HORAS - NOTURNO TUU'!$F$48</definedName>
    <definedName name="AL_2_3_A_TRANSP_12X36_NOT">'POSTO 12x36 HORAS - NOTURNO BEL'!$F$48</definedName>
    <definedName name="AL_2_3_A_TRANSP_44H" localSheetId="9">'POSTO 44 HORAS (STM)'!$F$49</definedName>
    <definedName name="AL_2_3_A_TRANSP_44H" localSheetId="22">'POSTO 44 HORAS ATM'!$F$49</definedName>
    <definedName name="AL_2_3_A_TRANSP_44H">'POSTO 44 HORAS BEL'!$F$49</definedName>
    <definedName name="AL_2_3_B_AUX_ALIMENT_12X36_DIU" localSheetId="23">'POSTO 12x36 HORAS - DIURNO (CAS'!$F$49</definedName>
    <definedName name="AL_2_3_B_AUX_ALIMENT_12X36_DIU" localSheetId="7">'POSTO 12x36 HORAS - DIURNO (STM'!$F$49</definedName>
    <definedName name="AL_2_3_B_AUX_ALIMENT_12X36_DIU" localSheetId="20">'POSTO 12x36 HORAS - DIURNO ATM'!$F$49</definedName>
    <definedName name="AL_2_3_B_AUX_ALIMENT_12X36_DIU" localSheetId="18">'POSTO 12x36 HORAS - DIURNO ITA'!$F$49</definedName>
    <definedName name="AL_2_3_B_AUX_ALIMENT_12X36_DIU" localSheetId="16">'POSTO 12x36 HORAS - DIURNO MAB'!$F$49</definedName>
    <definedName name="AL_2_3_B_AUX_ALIMENT_12X36_DIU" localSheetId="14">'POSTO 12x36 HORAS - DIURNO PGN'!$F$49</definedName>
    <definedName name="AL_2_3_B_AUX_ALIMENT_12X36_DIU" localSheetId="12">'POSTO 12x36 HORAS - DIURNO RDO'!$F$49</definedName>
    <definedName name="AL_2_3_B_AUX_ALIMENT_12X36_DIU" localSheetId="10">'POSTO 12x36 HORAS - DIURNO TUU'!$F$49</definedName>
    <definedName name="AL_2_3_B_AUX_ALIMENT_12X36_DIU">'POSTO 12x36 HORAS - DIURNO BEL'!$F$49</definedName>
    <definedName name="AL_2_3_B_AUX_ALIMENT_12X36_NOT" localSheetId="24">'POSTO 12x36 HORAS - NOTU - CAST'!$F$49</definedName>
    <definedName name="AL_2_3_B_AUX_ALIMENT_12X36_NOT" localSheetId="21">'POSTO 12x36 HORAS - NOTURNO ATM'!$F$49</definedName>
    <definedName name="AL_2_3_B_AUX_ALIMENT_12X36_NOT" localSheetId="19">'POSTO 12x36 HORAS - NOTURNO ITA'!$F$49</definedName>
    <definedName name="AL_2_3_B_AUX_ALIMENT_12X36_NOT" localSheetId="17">'POSTO 12x36 HORAS - NOTURNO MAB'!$F$49</definedName>
    <definedName name="AL_2_3_B_AUX_ALIMENT_12X36_NOT" localSheetId="15">'POSTO 12x36 HORAS - NOTURNO PGN'!$F$49</definedName>
    <definedName name="AL_2_3_B_AUX_ALIMENT_12X36_NOT" localSheetId="13">'POSTO 12x36 HORAS - NOTURNO RDO'!$F$49</definedName>
    <definedName name="AL_2_3_B_AUX_ALIMENT_12X36_NOT" localSheetId="8">'POSTO 12x36 HORAS - NOTURNO STM'!$F$49</definedName>
    <definedName name="AL_2_3_B_AUX_ALIMENT_12X36_NOT" localSheetId="11">'POSTO 12x36 HORAS - NOTURNO TUU'!$F$49</definedName>
    <definedName name="AL_2_3_B_AUX_ALIMENT_12X36_NOT">'POSTO 12x36 HORAS - NOTURNO BEL'!$F$49</definedName>
    <definedName name="AL_2_3_B_AUX_ALIMENT_44H" localSheetId="9">'POSTO 44 HORAS (STM)'!$F$50</definedName>
    <definedName name="AL_2_3_B_AUX_ALIMENT_44H" localSheetId="22">'POSTO 44 HORAS ATM'!$F$50</definedName>
    <definedName name="AL_2_3_B_AUX_ALIMENT_44H">'POSTO 44 HORAS BEL'!$F$50</definedName>
    <definedName name="AL_2_3_C_OUTROS_BENEF_12X36_DIU" localSheetId="23">'POSTO 12x36 HORAS - DIURNO (CAS'!$F$52</definedName>
    <definedName name="AL_2_3_C_OUTROS_BENEF_12X36_DIU" localSheetId="7">'POSTO 12x36 HORAS - DIURNO (STM'!$F$52</definedName>
    <definedName name="AL_2_3_C_OUTROS_BENEF_12X36_DIU" localSheetId="20">'POSTO 12x36 HORAS - DIURNO ATM'!$F$52</definedName>
    <definedName name="AL_2_3_C_OUTROS_BENEF_12X36_DIU" localSheetId="18">'POSTO 12x36 HORAS - DIURNO ITA'!$F$52</definedName>
    <definedName name="AL_2_3_C_OUTROS_BENEF_12X36_DIU" localSheetId="16">'POSTO 12x36 HORAS - DIURNO MAB'!$F$52</definedName>
    <definedName name="AL_2_3_C_OUTROS_BENEF_12X36_DIU" localSheetId="14">'POSTO 12x36 HORAS - DIURNO PGN'!$F$52</definedName>
    <definedName name="AL_2_3_C_OUTROS_BENEF_12X36_DIU" localSheetId="12">'POSTO 12x36 HORAS - DIURNO RDO'!$F$52</definedName>
    <definedName name="AL_2_3_C_OUTROS_BENEF_12X36_DIU" localSheetId="10">'POSTO 12x36 HORAS - DIURNO TUU'!$F$52</definedName>
    <definedName name="AL_2_3_C_OUTROS_BENEF_12X36_DIU">'POSTO 12x36 HORAS - DIURNO BEL'!$F$52</definedName>
    <definedName name="AL_2_3_C_OUTROS_BENEF_12X36_NOT" localSheetId="23">'POSTO 12x36 HORAS - NOTURNO BEL'!#REF!</definedName>
    <definedName name="AL_2_3_C_OUTROS_BENEF_12X36_NOT" localSheetId="7">'POSTO 12x36 HORAS - NOTURNO BEL'!#REF!</definedName>
    <definedName name="AL_2_3_C_OUTROS_BENEF_12X36_NOT" localSheetId="20">'POSTO 12x36 HORAS - NOTURNO BEL'!#REF!</definedName>
    <definedName name="AL_2_3_C_OUTROS_BENEF_12X36_NOT" localSheetId="18">'POSTO 12x36 HORAS - NOTURNO BEL'!#REF!</definedName>
    <definedName name="AL_2_3_C_OUTROS_BENEF_12X36_NOT" localSheetId="16">'POSTO 12x36 HORAS - NOTURNO BEL'!#REF!</definedName>
    <definedName name="AL_2_3_C_OUTROS_BENEF_12X36_NOT" localSheetId="14">'POSTO 12x36 HORAS - NOTURNO BEL'!#REF!</definedName>
    <definedName name="AL_2_3_C_OUTROS_BENEF_12X36_NOT" localSheetId="12">'POSTO 12x36 HORAS - NOTURNO BEL'!#REF!</definedName>
    <definedName name="AL_2_3_C_OUTROS_BENEF_12X36_NOT" localSheetId="10">'POSTO 12x36 HORAS - NOTURNO BEL'!#REF!</definedName>
    <definedName name="AL_2_3_C_OUTROS_BENEF_12X36_NOT" localSheetId="24">'POSTO 12x36 HORAS - NOTU - CAST'!#REF!</definedName>
    <definedName name="AL_2_3_C_OUTROS_BENEF_12X36_NOT" localSheetId="21">'POSTO 12x36 HORAS - NOTURNO ATM'!#REF!</definedName>
    <definedName name="AL_2_3_C_OUTROS_BENEF_12X36_NOT" localSheetId="19">'POSTO 12x36 HORAS - NOTURNO ITA'!#REF!</definedName>
    <definedName name="AL_2_3_C_OUTROS_BENEF_12X36_NOT" localSheetId="17">'POSTO 12x36 HORAS - NOTURNO MAB'!#REF!</definedName>
    <definedName name="AL_2_3_C_OUTROS_BENEF_12X36_NOT" localSheetId="15">'POSTO 12x36 HORAS - NOTURNO PGN'!#REF!</definedName>
    <definedName name="AL_2_3_C_OUTROS_BENEF_12X36_NOT" localSheetId="13">'POSTO 12x36 HORAS - NOTURNO RDO'!#REF!</definedName>
    <definedName name="AL_2_3_C_OUTROS_BENEF_12X36_NOT" localSheetId="8">'POSTO 12x36 HORAS - NOTURNO STM'!#REF!</definedName>
    <definedName name="AL_2_3_C_OUTROS_BENEF_12X36_NOT" localSheetId="11">'POSTO 12x36 HORAS - NOTURNO TUU'!#REF!</definedName>
    <definedName name="AL_2_3_C_OUTROS_BENEF_12X36_NOT" localSheetId="9">'POSTO 12x36 HORAS - NOTURNO BEL'!#REF!</definedName>
    <definedName name="AL_2_3_C_OUTROS_BENEF_12X36_NOT" localSheetId="22">'POSTO 12x36 HORAS - NOTURNO BEL'!#REF!</definedName>
    <definedName name="AL_2_3_C_OUTROS_BENEF_12X36_NOT">'POSTO 12x36 HORAS - NOTURNO BEL'!#REF!</definedName>
    <definedName name="AL_2_A_ATE_2_G_GPS_12X36_NOT" localSheetId="24">'POSTO 12x36 HORAS - NOTU - CAST'!$F$37:$F$43</definedName>
    <definedName name="AL_2_A_ATE_2_G_GPS_12X36_NOT" localSheetId="21">'POSTO 12x36 HORAS - NOTURNO ATM'!$F$37:$F$43</definedName>
    <definedName name="AL_2_A_ATE_2_G_GPS_12X36_NOT" localSheetId="19">'POSTO 12x36 HORAS - NOTURNO ITA'!$F$37:$F$43</definedName>
    <definedName name="AL_2_A_ATE_2_G_GPS_12X36_NOT" localSheetId="17">'POSTO 12x36 HORAS - NOTURNO MAB'!$F$37:$F$43</definedName>
    <definedName name="AL_2_A_ATE_2_G_GPS_12X36_NOT" localSheetId="15">'POSTO 12x36 HORAS - NOTURNO PGN'!$F$37:$F$43</definedName>
    <definedName name="AL_2_A_ATE_2_G_GPS_12X36_NOT" localSheetId="13">'POSTO 12x36 HORAS - NOTURNO RDO'!$F$37:$F$43</definedName>
    <definedName name="AL_2_A_ATE_2_G_GPS_12X36_NOT" localSheetId="8">'POSTO 12x36 HORAS - NOTURNO STM'!$F$37:$F$43</definedName>
    <definedName name="AL_2_A_ATE_2_G_GPS_12X36_NOT" localSheetId="11">'POSTO 12x36 HORAS - NOTURNO TUU'!$F$37:$F$43</definedName>
    <definedName name="AL_2_A_ATE_2_G_GPS_12X36_NOT">'POSTO 12x36 HORAS - NOTURNO BEL'!$F$37:$F$43</definedName>
    <definedName name="AL_6_A_CUSTOS_INDIRETOS_12X36_DIU" localSheetId="23">'POSTO 12x36 HORAS - DIURNO (CAS'!$F$86</definedName>
    <definedName name="AL_6_A_CUSTOS_INDIRETOS_12X36_DIU" localSheetId="7">'POSTO 12x36 HORAS - DIURNO (STM'!$F$86</definedName>
    <definedName name="AL_6_A_CUSTOS_INDIRETOS_12X36_DIU" localSheetId="20">'POSTO 12x36 HORAS - DIURNO ATM'!$F$86</definedName>
    <definedName name="AL_6_A_CUSTOS_INDIRETOS_12X36_DIU" localSheetId="18">'POSTO 12x36 HORAS - DIURNO ITA'!$F$86</definedName>
    <definedName name="AL_6_A_CUSTOS_INDIRETOS_12X36_DIU" localSheetId="16">'POSTO 12x36 HORAS - DIURNO MAB'!$F$86</definedName>
    <definedName name="AL_6_A_CUSTOS_INDIRETOS_12X36_DIU" localSheetId="14">'POSTO 12x36 HORAS - DIURNO PGN'!$F$86</definedName>
    <definedName name="AL_6_A_CUSTOS_INDIRETOS_12X36_DIU" localSheetId="12">'POSTO 12x36 HORAS - DIURNO RDO'!$F$86</definedName>
    <definedName name="AL_6_A_CUSTOS_INDIRETOS_12X36_DIU" localSheetId="10">'POSTO 12x36 HORAS - DIURNO TUU'!$F$86</definedName>
    <definedName name="AL_6_A_CUSTOS_INDIRETOS_12X36_DIU">'POSTO 12x36 HORAS - DIURNO BEL'!$F$86</definedName>
    <definedName name="AL_6_A_CUSTOS_INDIRETOS_12X36_NOT" localSheetId="24">'POSTO 12x36 HORAS - NOTU - CAST'!$F$86</definedName>
    <definedName name="AL_6_A_CUSTOS_INDIRETOS_12X36_NOT" localSheetId="21">'POSTO 12x36 HORAS - NOTURNO ATM'!$F$86</definedName>
    <definedName name="AL_6_A_CUSTOS_INDIRETOS_12X36_NOT" localSheetId="19">'POSTO 12x36 HORAS - NOTURNO ITA'!$F$86</definedName>
    <definedName name="AL_6_A_CUSTOS_INDIRETOS_12X36_NOT" localSheetId="17">'POSTO 12x36 HORAS - NOTURNO MAB'!$F$86</definedName>
    <definedName name="AL_6_A_CUSTOS_INDIRETOS_12X36_NOT" localSheetId="15">'POSTO 12x36 HORAS - NOTURNO PGN'!$F$86</definedName>
    <definedName name="AL_6_A_CUSTOS_INDIRETOS_12X36_NOT" localSheetId="13">'POSTO 12x36 HORAS - NOTURNO RDO'!$F$86</definedName>
    <definedName name="AL_6_A_CUSTOS_INDIRETOS_12X36_NOT" localSheetId="8">'POSTO 12x36 HORAS - NOTURNO STM'!$F$86</definedName>
    <definedName name="AL_6_A_CUSTOS_INDIRETOS_12X36_NOT" localSheetId="11">'POSTO 12x36 HORAS - NOTURNO TUU'!$F$86</definedName>
    <definedName name="AL_6_A_CUSTOS_INDIRETOS_12X36_NOT">'POSTO 12x36 HORAS - NOTURNO BEL'!$F$86</definedName>
    <definedName name="AL_6_A_CUSTOS_INDIRETOS_44H" localSheetId="9">'POSTO 44 HORAS (STM)'!$F$89</definedName>
    <definedName name="AL_6_A_CUSTOS_INDIRETOS_44H" localSheetId="22">'POSTO 44 HORAS ATM'!$F$89</definedName>
    <definedName name="AL_6_A_CUSTOS_INDIRETOS_44H">'POSTO 44 HORAS BEL'!$F$89</definedName>
    <definedName name="AL_6_B_LUCRO_12X36_DIU" localSheetId="23">'POSTO 12x36 HORAS - DIURNO (CAS'!$F$87</definedName>
    <definedName name="AL_6_B_LUCRO_12X36_DIU" localSheetId="7">'POSTO 12x36 HORAS - DIURNO (STM'!$F$87</definedName>
    <definedName name="AL_6_B_LUCRO_12X36_DIU" localSheetId="20">'POSTO 12x36 HORAS - DIURNO ATM'!$F$87</definedName>
    <definedName name="AL_6_B_LUCRO_12X36_DIU" localSheetId="18">'POSTO 12x36 HORAS - DIURNO ITA'!$F$87</definedName>
    <definedName name="AL_6_B_LUCRO_12X36_DIU" localSheetId="16">'POSTO 12x36 HORAS - DIURNO MAB'!$F$87</definedName>
    <definedName name="AL_6_B_LUCRO_12X36_DIU" localSheetId="14">'POSTO 12x36 HORAS - DIURNO PGN'!$F$87</definedName>
    <definedName name="AL_6_B_LUCRO_12X36_DIU" localSheetId="12">'POSTO 12x36 HORAS - DIURNO RDO'!$F$87</definedName>
    <definedName name="AL_6_B_LUCRO_12X36_DIU" localSheetId="10">'POSTO 12x36 HORAS - DIURNO TUU'!$F$87</definedName>
    <definedName name="AL_6_B_LUCRO_12X36_DIU">'POSTO 12x36 HORAS - DIURNO BEL'!$F$87</definedName>
    <definedName name="AL_6_B_LUCRO_12X36_NOT" localSheetId="24">'POSTO 12x36 HORAS - NOTU - CAST'!$F$87</definedName>
    <definedName name="AL_6_B_LUCRO_12X36_NOT" localSheetId="21">'POSTO 12x36 HORAS - NOTURNO ATM'!$F$87</definedName>
    <definedName name="AL_6_B_LUCRO_12X36_NOT" localSheetId="19">'POSTO 12x36 HORAS - NOTURNO ITA'!$F$87</definedName>
    <definedName name="AL_6_B_LUCRO_12X36_NOT" localSheetId="17">'POSTO 12x36 HORAS - NOTURNO MAB'!$F$87</definedName>
    <definedName name="AL_6_B_LUCRO_12X36_NOT" localSheetId="15">'POSTO 12x36 HORAS - NOTURNO PGN'!$F$87</definedName>
    <definedName name="AL_6_B_LUCRO_12X36_NOT" localSheetId="13">'POSTO 12x36 HORAS - NOTURNO RDO'!$F$87</definedName>
    <definedName name="AL_6_B_LUCRO_12X36_NOT" localSheetId="8">'POSTO 12x36 HORAS - NOTURNO STM'!$F$87</definedName>
    <definedName name="AL_6_B_LUCRO_12X36_NOT" localSheetId="11">'POSTO 12x36 HORAS - NOTURNO TUU'!$F$87</definedName>
    <definedName name="AL_6_B_LUCRO_12X36_NOT">'POSTO 12x36 HORAS - NOTURNO BEL'!$F$87</definedName>
    <definedName name="AL_6_B_LUCRO_44H" localSheetId="9">'POSTO 44 HORAS (STM)'!$F$90</definedName>
    <definedName name="AL_6_B_LUCRO_44H" localSheetId="22">'POSTO 44 HORAS ATM'!$F$90</definedName>
    <definedName name="AL_6_B_LUCRO_44H">'POSTO 44 HORAS BEL'!$F$90</definedName>
    <definedName name="AL_6_C_1_PIS_12X36_DIU" localSheetId="23">'POSTO 12x36 HORAS - DIURNO (CAS'!$F$89</definedName>
    <definedName name="AL_6_C_1_PIS_12X36_DIU" localSheetId="7">'POSTO 12x36 HORAS - DIURNO (STM'!$F$89</definedName>
    <definedName name="AL_6_C_1_PIS_12X36_DIU" localSheetId="20">'POSTO 12x36 HORAS - DIURNO ATM'!$F$89</definedName>
    <definedName name="AL_6_C_1_PIS_12X36_DIU" localSheetId="18">'POSTO 12x36 HORAS - DIURNO ITA'!$F$89</definedName>
    <definedName name="AL_6_C_1_PIS_12X36_DIU" localSheetId="16">'POSTO 12x36 HORAS - DIURNO MAB'!$F$89</definedName>
    <definedName name="AL_6_C_1_PIS_12X36_DIU" localSheetId="14">'POSTO 12x36 HORAS - DIURNO PGN'!$F$89</definedName>
    <definedName name="AL_6_C_1_PIS_12X36_DIU" localSheetId="12">'POSTO 12x36 HORAS - DIURNO RDO'!$F$89</definedName>
    <definedName name="AL_6_C_1_PIS_12X36_DIU" localSheetId="10">'POSTO 12x36 HORAS - DIURNO TUU'!$F$89</definedName>
    <definedName name="AL_6_C_1_PIS_12X36_DIU">'POSTO 12x36 HORAS - DIURNO BEL'!$F$89</definedName>
    <definedName name="AL_6_C_1_PIS_12X36_NOT" localSheetId="24">'POSTO 12x36 HORAS - NOTU - CAST'!$F$89</definedName>
    <definedName name="AL_6_C_1_PIS_12X36_NOT" localSheetId="21">'POSTO 12x36 HORAS - NOTURNO ATM'!$F$89</definedName>
    <definedName name="AL_6_C_1_PIS_12X36_NOT" localSheetId="19">'POSTO 12x36 HORAS - NOTURNO ITA'!$F$89</definedName>
    <definedName name="AL_6_C_1_PIS_12X36_NOT" localSheetId="17">'POSTO 12x36 HORAS - NOTURNO MAB'!$F$89</definedName>
    <definedName name="AL_6_C_1_PIS_12X36_NOT" localSheetId="15">'POSTO 12x36 HORAS - NOTURNO PGN'!$F$89</definedName>
    <definedName name="AL_6_C_1_PIS_12X36_NOT" localSheetId="13">'POSTO 12x36 HORAS - NOTURNO RDO'!$F$89</definedName>
    <definedName name="AL_6_C_1_PIS_12X36_NOT" localSheetId="8">'POSTO 12x36 HORAS - NOTURNO STM'!$F$89</definedName>
    <definedName name="AL_6_C_1_PIS_12X36_NOT" localSheetId="11">'POSTO 12x36 HORAS - NOTURNO TUU'!$F$89</definedName>
    <definedName name="AL_6_C_1_PIS_12X36_NOT">'POSTO 12x36 HORAS - NOTURNO BEL'!$F$89</definedName>
    <definedName name="AL_6_C_1_PIS_44H" localSheetId="9">'POSTO 44 HORAS (STM)'!$F$92</definedName>
    <definedName name="AL_6_C_1_PIS_44H" localSheetId="22">'POSTO 44 HORAS ATM'!$F$92</definedName>
    <definedName name="AL_6_C_1_PIS_44H">'POSTO 44 HORAS BEL'!$F$92</definedName>
    <definedName name="AL_6_C_2_COFINS_12X36_DIU" localSheetId="23">'POSTO 12x36 HORAS - DIURNO (CAS'!$F$90</definedName>
    <definedName name="AL_6_C_2_COFINS_12X36_DIU" localSheetId="7">'POSTO 12x36 HORAS - DIURNO (STM'!$F$90</definedName>
    <definedName name="AL_6_C_2_COFINS_12X36_DIU" localSheetId="20">'POSTO 12x36 HORAS - DIURNO ATM'!$F$90</definedName>
    <definedName name="AL_6_C_2_COFINS_12X36_DIU" localSheetId="18">'POSTO 12x36 HORAS - DIURNO ITA'!$F$90</definedName>
    <definedName name="AL_6_C_2_COFINS_12X36_DIU" localSheetId="16">'POSTO 12x36 HORAS - DIURNO MAB'!$F$90</definedName>
    <definedName name="AL_6_C_2_COFINS_12X36_DIU" localSheetId="14">'POSTO 12x36 HORAS - DIURNO PGN'!$F$90</definedName>
    <definedName name="AL_6_C_2_COFINS_12X36_DIU" localSheetId="12">'POSTO 12x36 HORAS - DIURNO RDO'!$F$90</definedName>
    <definedName name="AL_6_C_2_COFINS_12X36_DIU" localSheetId="10">'POSTO 12x36 HORAS - DIURNO TUU'!$F$90</definedName>
    <definedName name="AL_6_C_2_COFINS_12X36_DIU">'POSTO 12x36 HORAS - DIURNO BEL'!$F$90</definedName>
    <definedName name="AL_6_C_2_COFINS_12X36_NOT" localSheetId="24">'POSTO 12x36 HORAS - NOTU - CAST'!$F$90</definedName>
    <definedName name="AL_6_C_2_COFINS_12X36_NOT" localSheetId="21">'POSTO 12x36 HORAS - NOTURNO ATM'!$F$90</definedName>
    <definedName name="AL_6_C_2_COFINS_12X36_NOT" localSheetId="19">'POSTO 12x36 HORAS - NOTURNO ITA'!$F$90</definedName>
    <definedName name="AL_6_C_2_COFINS_12X36_NOT" localSheetId="17">'POSTO 12x36 HORAS - NOTURNO MAB'!$F$90</definedName>
    <definedName name="AL_6_C_2_COFINS_12X36_NOT" localSheetId="15">'POSTO 12x36 HORAS - NOTURNO PGN'!$F$90</definedName>
    <definedName name="AL_6_C_2_COFINS_12X36_NOT" localSheetId="13">'POSTO 12x36 HORAS - NOTURNO RDO'!$F$90</definedName>
    <definedName name="AL_6_C_2_COFINS_12X36_NOT" localSheetId="8">'POSTO 12x36 HORAS - NOTURNO STM'!$F$90</definedName>
    <definedName name="AL_6_C_2_COFINS_12X36_NOT" localSheetId="11">'POSTO 12x36 HORAS - NOTURNO TUU'!$F$90</definedName>
    <definedName name="AL_6_C_2_COFINS_12X36_NOT">'POSTO 12x36 HORAS - NOTURNO BEL'!$F$90</definedName>
    <definedName name="AL_6_C_2_COFINS_44H" localSheetId="9">'POSTO 44 HORAS (STM)'!$F$93</definedName>
    <definedName name="AL_6_C_2_COFINS_44H" localSheetId="22">'POSTO 44 HORAS ATM'!$F$93</definedName>
    <definedName name="AL_6_C_2_COFINS_44H">'POSTO 44 HORAS BEL'!$F$93</definedName>
    <definedName name="AL_6_C_3_ISS_12X36_DIU" localSheetId="23">'POSTO 12x36 HORAS - DIURNO (CAS'!$F$91</definedName>
    <definedName name="AL_6_C_3_ISS_12X36_DIU" localSheetId="7">'POSTO 12x36 HORAS - DIURNO (STM'!$F$91</definedName>
    <definedName name="AL_6_C_3_ISS_12X36_DIU" localSheetId="20">'POSTO 12x36 HORAS - DIURNO ATM'!$F$91</definedName>
    <definedName name="AL_6_C_3_ISS_12X36_DIU" localSheetId="18">'POSTO 12x36 HORAS - DIURNO ITA'!$F$91</definedName>
    <definedName name="AL_6_C_3_ISS_12X36_DIU" localSheetId="16">'POSTO 12x36 HORAS - DIURNO MAB'!$F$91</definedName>
    <definedName name="AL_6_C_3_ISS_12X36_DIU" localSheetId="14">'POSTO 12x36 HORAS - DIURNO PGN'!$F$91</definedName>
    <definedName name="AL_6_C_3_ISS_12X36_DIU" localSheetId="12">'POSTO 12x36 HORAS - DIURNO RDO'!$F$91</definedName>
    <definedName name="AL_6_C_3_ISS_12X36_DIU" localSheetId="10">'POSTO 12x36 HORAS - DIURNO TUU'!$F$91</definedName>
    <definedName name="AL_6_C_3_ISS_12X36_DIU">'POSTO 12x36 HORAS - DIURNO BEL'!$F$91</definedName>
    <definedName name="AL_6_C_3_ISS_12X36_NOT" localSheetId="24">'POSTO 12x36 HORAS - NOTU - CAST'!$F$91</definedName>
    <definedName name="AL_6_C_3_ISS_12X36_NOT" localSheetId="21">'POSTO 12x36 HORAS - NOTURNO ATM'!$F$91</definedName>
    <definedName name="AL_6_C_3_ISS_12X36_NOT" localSheetId="19">'POSTO 12x36 HORAS - NOTURNO ITA'!$F$91</definedName>
    <definedName name="AL_6_C_3_ISS_12X36_NOT" localSheetId="17">'POSTO 12x36 HORAS - NOTURNO MAB'!$F$91</definedName>
    <definedName name="AL_6_C_3_ISS_12X36_NOT" localSheetId="15">'POSTO 12x36 HORAS - NOTURNO PGN'!$F$91</definedName>
    <definedName name="AL_6_C_3_ISS_12X36_NOT" localSheetId="13">'POSTO 12x36 HORAS - NOTURNO RDO'!$F$91</definedName>
    <definedName name="AL_6_C_3_ISS_12X36_NOT" localSheetId="8">'POSTO 12x36 HORAS - NOTURNO STM'!$F$91</definedName>
    <definedName name="AL_6_C_3_ISS_12X36_NOT" localSheetId="11">'POSTO 12x36 HORAS - NOTURNO TUU'!$F$91</definedName>
    <definedName name="AL_6_C_3_ISS_12X36_NOT">'POSTO 12x36 HORAS - NOTURNO BEL'!$F$91</definedName>
    <definedName name="AL_6_C_3_ISS_44H" localSheetId="9">'POSTO 44 HORAS (STM)'!$F$94</definedName>
    <definedName name="AL_6_C_3_ISS_44H" localSheetId="22">'POSTO 44 HORAS ATM'!$F$94</definedName>
    <definedName name="AL_6_C_3_ISS_44H">'POSTO 44 HORAS BEL'!$F$94</definedName>
    <definedName name="AL_6_C_TRIBUTOS_12X36_DIU" localSheetId="23">'POSTO 12x36 HORAS - DIURNO (CAS'!$F$88</definedName>
    <definedName name="AL_6_C_TRIBUTOS_12X36_DIU" localSheetId="7">'POSTO 12x36 HORAS - DIURNO (STM'!$F$88</definedName>
    <definedName name="AL_6_C_TRIBUTOS_12X36_DIU" localSheetId="20">'POSTO 12x36 HORAS - DIURNO ATM'!$F$88</definedName>
    <definedName name="AL_6_C_TRIBUTOS_12X36_DIU" localSheetId="18">'POSTO 12x36 HORAS - DIURNO ITA'!$F$88</definedName>
    <definedName name="AL_6_C_TRIBUTOS_12X36_DIU" localSheetId="16">'POSTO 12x36 HORAS - DIURNO MAB'!$F$88</definedName>
    <definedName name="AL_6_C_TRIBUTOS_12X36_DIU" localSheetId="14">'POSTO 12x36 HORAS - DIURNO PGN'!$F$88</definedName>
    <definedName name="AL_6_C_TRIBUTOS_12X36_DIU" localSheetId="12">'POSTO 12x36 HORAS - DIURNO RDO'!$F$88</definedName>
    <definedName name="AL_6_C_TRIBUTOS_12X36_DIU" localSheetId="10">'POSTO 12x36 HORAS - DIURNO TUU'!$F$88</definedName>
    <definedName name="AL_6_C_TRIBUTOS_12X36_DIU">'POSTO 12x36 HORAS - DIURNO BEL'!$F$88</definedName>
    <definedName name="AL_6_C_TRIBUTOS_12X36_NOT" localSheetId="24">'POSTO 12x36 HORAS - NOTU - CAST'!$F$88</definedName>
    <definedName name="AL_6_C_TRIBUTOS_12X36_NOT" localSheetId="21">'POSTO 12x36 HORAS - NOTURNO ATM'!$F$88</definedName>
    <definedName name="AL_6_C_TRIBUTOS_12X36_NOT" localSheetId="19">'POSTO 12x36 HORAS - NOTURNO ITA'!$F$88</definedName>
    <definedName name="AL_6_C_TRIBUTOS_12X36_NOT" localSheetId="17">'POSTO 12x36 HORAS - NOTURNO MAB'!$F$88</definedName>
    <definedName name="AL_6_C_TRIBUTOS_12X36_NOT" localSheetId="15">'POSTO 12x36 HORAS - NOTURNO PGN'!$F$88</definedName>
    <definedName name="AL_6_C_TRIBUTOS_12X36_NOT" localSheetId="13">'POSTO 12x36 HORAS - NOTURNO RDO'!$F$88</definedName>
    <definedName name="AL_6_C_TRIBUTOS_12X36_NOT" localSheetId="8">'POSTO 12x36 HORAS - NOTURNO STM'!$F$88</definedName>
    <definedName name="AL_6_C_TRIBUTOS_12X36_NOT" localSheetId="11">'POSTO 12x36 HORAS - NOTURNO TUU'!$F$88</definedName>
    <definedName name="AL_6_C_TRIBUTOS_12X36_NOT">'POSTO 12x36 HORAS - NOTURNO BEL'!$F$88</definedName>
    <definedName name="AL_6_C_TRIBUTOS_44H" localSheetId="9">'POSTO 44 HORAS (STM)'!$F$91</definedName>
    <definedName name="AL_6_C_TRIBUTOS_44H" localSheetId="22">'POSTO 44 HORAS ATM'!$F$91</definedName>
    <definedName name="AL_6_C_TRIBUTOS_44H">'POSTO 44 HORAS BEL'!$F$91</definedName>
    <definedName name="ALIMENTACAO_POR_DIA">'INSERÇÃO-DE-DADOS'!$F$58</definedName>
    <definedName name="CATEGORIA_PROFISSIONAL">'INSERÇÃO-DE-DADOS'!$D$44</definedName>
    <definedName name="CBO">'INSERÇÃO-DE-DADOS'!$D$43</definedName>
    <definedName name="DATA_APRESENTACAO_PROPOSTA">'INSERÇÃO-DE-DADOS'!$F$10</definedName>
    <definedName name="DATA_BASE_CATEGORIA">'INSERÇÃO-DE-DADOS'!$F$45</definedName>
    <definedName name="DATA_DO_ORCAMENTO_ESTIMATIVO">'INSERÇÃO-DE-DADOS'!$F$2</definedName>
    <definedName name="DATA_LICITACAO">'INSERÇÃO-DE-DADOS'!$D$7</definedName>
    <definedName name="DIAS_AUSENCIAS_LEGAIS">'DADOS-ESTATISTICOS'!$F$29</definedName>
    <definedName name="DIAS_LICENCA_MATERNIDADE">'DADOS-ESTATISTICOS'!$F$35</definedName>
    <definedName name="DIAS_LICENCA_PATERNIDADE">'DADOS-ESTATISTICOS'!$F$30</definedName>
    <definedName name="DIAS_NA_SEMANA">'DADOS-ESTATISTICOS'!$F$5</definedName>
    <definedName name="DIAS_NO_ANO">'DADOS-ESTATISTICOS'!$F$6</definedName>
    <definedName name="DIAS_NO_MES">'DADOS-ESTATISTICOS'!$F$24</definedName>
    <definedName name="DIAS_PAGOS_EMPRESA_ACID_TRAB">'DADOS-ESTATISTICOS'!$F$34</definedName>
    <definedName name="DIAS_TRABALHADOS_NO_MES_12X36">'DADOS-ESTATISTICOS'!$F$15</definedName>
    <definedName name="DIAS_UTEIS_TRABALHADOS_NO_MES_44HORAS">'DADOS-ESTATISTICOS'!$F$16</definedName>
    <definedName name="DIVISOR_DE_HORAS">'DADOS-ESTATISTICOS'!$F$4</definedName>
    <definedName name="EMPREG_POR_POSTO_12X36_DIU" localSheetId="23">'POSTO 12x36 HORAS - DIURNO (CAS'!$F$21</definedName>
    <definedName name="EMPREG_POR_POSTO_12X36_DIU" localSheetId="7">'POSTO 12x36 HORAS - DIURNO (STM'!$F$21</definedName>
    <definedName name="EMPREG_POR_POSTO_12X36_DIU" localSheetId="20">'POSTO 12x36 HORAS - DIURNO ATM'!$F$21</definedName>
    <definedName name="EMPREG_POR_POSTO_12X36_DIU" localSheetId="18">'POSTO 12x36 HORAS - DIURNO ITA'!$F$21</definedName>
    <definedName name="EMPREG_POR_POSTO_12X36_DIU" localSheetId="16">'POSTO 12x36 HORAS - DIURNO MAB'!$F$21</definedName>
    <definedName name="EMPREG_POR_POSTO_12X36_DIU" localSheetId="14">'POSTO 12x36 HORAS - DIURNO PGN'!$F$21</definedName>
    <definedName name="EMPREG_POR_POSTO_12X36_DIU" localSheetId="12">'POSTO 12x36 HORAS - DIURNO RDO'!$F$21</definedName>
    <definedName name="EMPREG_POR_POSTO_12X36_DIU" localSheetId="10">'POSTO 12x36 HORAS - DIURNO TUU'!$F$21</definedName>
    <definedName name="EMPREG_POR_POSTO_12X36_DIU">'POSTO 12x36 HORAS - DIURNO BEL'!$F$21</definedName>
    <definedName name="EMPREG_POR_POSTO_12X36_NOT" localSheetId="24">'POSTO 12x36 HORAS - NOTU - CAST'!$F$19</definedName>
    <definedName name="EMPREG_POR_POSTO_12X36_NOT" localSheetId="21">'POSTO 12x36 HORAS - NOTURNO ATM'!$F$19</definedName>
    <definedName name="EMPREG_POR_POSTO_12X36_NOT" localSheetId="19">'POSTO 12x36 HORAS - NOTURNO ITA'!$F$19</definedName>
    <definedName name="EMPREG_POR_POSTO_12X36_NOT" localSheetId="17">'POSTO 12x36 HORAS - NOTURNO MAB'!$F$19</definedName>
    <definedName name="EMPREG_POR_POSTO_12X36_NOT" localSheetId="15">'POSTO 12x36 HORAS - NOTURNO PGN'!$F$19</definedName>
    <definedName name="EMPREG_POR_POSTO_12X36_NOT" localSheetId="13">'POSTO 12x36 HORAS - NOTURNO RDO'!$F$19</definedName>
    <definedName name="EMPREG_POR_POSTO_12X36_NOT" localSheetId="8">'POSTO 12x36 HORAS - NOTURNO STM'!$F$19</definedName>
    <definedName name="EMPREG_POR_POSTO_12X36_NOT" localSheetId="11">'POSTO 12x36 HORAS - NOTURNO TUU'!$F$19</definedName>
    <definedName name="EMPREG_POR_POSTO_12X36_NOT">'POSTO 12x36 HORAS - NOTURNO BEL'!$F$19</definedName>
    <definedName name="EMPREG_POR_POSTO_44H" localSheetId="9">'POSTO 44 HORAS (STM)'!$F$21</definedName>
    <definedName name="EMPREG_POR_POSTO_44H" localSheetId="22">'POSTO 44 HORAS ATM'!$F$21</definedName>
    <definedName name="EMPREG_POR_POSTO_44H">'POSTO 44 HORAS BEL'!$F$21</definedName>
    <definedName name="EQUIPAMENTOS">'INSERÇÃO-DE-DADOS'!$F$75</definedName>
    <definedName name="HORA_NORMAL">'DADOS-ESTATISTICOS'!$F$9</definedName>
    <definedName name="HORA_NOTURNA">'DADOS-ESTATISTICOS'!$F$10</definedName>
    <definedName name="HORARIO_LICITACAO">'INSERÇÃO-DE-DADOS'!$F$7</definedName>
    <definedName name="LOCAL_DE_EXECUCAO">'INSERÇÃO-DE-DADOS'!$D$11</definedName>
    <definedName name="MATERIAIS">'INSERÇÃO-DE-DADOS'!$F$74</definedName>
    <definedName name="MEDIA_ANUAL_DIAS_TRABALHO_MES">'DADOS-ESTATISTICOS'!$F$7</definedName>
    <definedName name="MESES_NO_ANO">'DADOS-ESTATISTICOS'!$F$8</definedName>
    <definedName name="MOD_1_REMUNERACAO_12X36_DIU" localSheetId="23">'POSTO 12x36 HORAS - DIURNO (CAS'!$F$28</definedName>
    <definedName name="MOD_1_REMUNERACAO_12X36_DIU" localSheetId="7">'POSTO 12x36 HORAS - DIURNO (STM'!$F$28</definedName>
    <definedName name="MOD_1_REMUNERACAO_12X36_DIU" localSheetId="20">'POSTO 12x36 HORAS - DIURNO ATM'!$F$28</definedName>
    <definedName name="MOD_1_REMUNERACAO_12X36_DIU" localSheetId="18">'POSTO 12x36 HORAS - DIURNO ITA'!$F$28</definedName>
    <definedName name="MOD_1_REMUNERACAO_12X36_DIU" localSheetId="16">'POSTO 12x36 HORAS - DIURNO MAB'!$F$28</definedName>
    <definedName name="MOD_1_REMUNERACAO_12X36_DIU" localSheetId="14">'POSTO 12x36 HORAS - DIURNO PGN'!$F$28</definedName>
    <definedName name="MOD_1_REMUNERACAO_12X36_DIU" localSheetId="12">'POSTO 12x36 HORAS - DIURNO RDO'!$F$28</definedName>
    <definedName name="MOD_1_REMUNERACAO_12X36_DIU" localSheetId="10">'POSTO 12x36 HORAS - DIURNO TUU'!$F$28</definedName>
    <definedName name="MOD_1_REMUNERACAO_12X36_DIU">'POSTO 12x36 HORAS - DIURNO BEL'!$F$28</definedName>
    <definedName name="MOD_1_REMUNERACAO_12X36_NOT" localSheetId="24">'POSTO 12x36 HORAS - NOTU - CAST'!$F$28</definedName>
    <definedName name="MOD_1_REMUNERACAO_12X36_NOT" localSheetId="21">'POSTO 12x36 HORAS - NOTURNO ATM'!$F$28</definedName>
    <definedName name="MOD_1_REMUNERACAO_12X36_NOT" localSheetId="19">'POSTO 12x36 HORAS - NOTURNO ITA'!$F$28</definedName>
    <definedName name="MOD_1_REMUNERACAO_12X36_NOT" localSheetId="17">'POSTO 12x36 HORAS - NOTURNO MAB'!$F$28</definedName>
    <definedName name="MOD_1_REMUNERACAO_12X36_NOT" localSheetId="15">'POSTO 12x36 HORAS - NOTURNO PGN'!$F$28</definedName>
    <definedName name="MOD_1_REMUNERACAO_12X36_NOT" localSheetId="13">'POSTO 12x36 HORAS - NOTURNO RDO'!$F$28</definedName>
    <definedName name="MOD_1_REMUNERACAO_12X36_NOT" localSheetId="8">'POSTO 12x36 HORAS - NOTURNO STM'!$F$28</definedName>
    <definedName name="MOD_1_REMUNERACAO_12X36_NOT" localSheetId="11">'POSTO 12x36 HORAS - NOTURNO TUU'!$F$28</definedName>
    <definedName name="MOD_1_REMUNERACAO_12X36_NOT">'POSTO 12x36 HORAS - NOTURNO BEL'!$F$28</definedName>
    <definedName name="MOD_1_REMUNERACAO_44H" localSheetId="9">'POSTO 44 HORAS (STM)'!$F$28</definedName>
    <definedName name="MOD_1_REMUNERACAO_44H" localSheetId="22">'POSTO 44 HORAS ATM'!$F$28</definedName>
    <definedName name="MOD_1_REMUNERACAO_44H">'POSTO 44 HORAS BEL'!$F$28</definedName>
    <definedName name="MOD_2_ENCARGOS_BENEFICIOS_12X36_DIU" localSheetId="23">'POSTO 12x36 HORAS - DIURNO (CAS'!$F$34+'POSTO 12x36 HORAS - DIURNO (CAS'!$F$45+'POSTO 12x36 HORAS - DIURNO (CAS'!$F$53</definedName>
    <definedName name="MOD_2_ENCARGOS_BENEFICIOS_12X36_DIU" localSheetId="7">'POSTO 12x36 HORAS - DIURNO (STM'!$F$34+'POSTO 12x36 HORAS - DIURNO (STM'!$F$45+'POSTO 12x36 HORAS - DIURNO (STM'!$F$53</definedName>
    <definedName name="MOD_2_ENCARGOS_BENEFICIOS_12X36_DIU" localSheetId="20">'POSTO 12x36 HORAS - DIURNO ATM'!$F$34+'POSTO 12x36 HORAS - DIURNO ATM'!$F$45+'POSTO 12x36 HORAS - DIURNO ATM'!$F$53</definedName>
    <definedName name="MOD_2_ENCARGOS_BENEFICIOS_12X36_DIU" localSheetId="18">'POSTO 12x36 HORAS - DIURNO ITA'!$F$34+'POSTO 12x36 HORAS - DIURNO ITA'!$F$45+'POSTO 12x36 HORAS - DIURNO ITA'!$F$53</definedName>
    <definedName name="MOD_2_ENCARGOS_BENEFICIOS_12X36_DIU" localSheetId="16">'POSTO 12x36 HORAS - DIURNO MAB'!$F$34+'POSTO 12x36 HORAS - DIURNO MAB'!$F$45+'POSTO 12x36 HORAS - DIURNO MAB'!$F$53</definedName>
    <definedName name="MOD_2_ENCARGOS_BENEFICIOS_12X36_DIU" localSheetId="14">'POSTO 12x36 HORAS - DIURNO PGN'!$F$34+'POSTO 12x36 HORAS - DIURNO PGN'!$F$45+'POSTO 12x36 HORAS - DIURNO PGN'!$F$53</definedName>
    <definedName name="MOD_2_ENCARGOS_BENEFICIOS_12X36_DIU" localSheetId="12">'POSTO 12x36 HORAS - DIURNO RDO'!$F$34+'POSTO 12x36 HORAS - DIURNO RDO'!$F$45+'POSTO 12x36 HORAS - DIURNO RDO'!$F$53</definedName>
    <definedName name="MOD_2_ENCARGOS_BENEFICIOS_12X36_DIU" localSheetId="10">'POSTO 12x36 HORAS - DIURNO TUU'!$F$34+'POSTO 12x36 HORAS - DIURNO TUU'!$F$45+'POSTO 12x36 HORAS - DIURNO TUU'!$F$53</definedName>
    <definedName name="MOD_2_ENCARGOS_BENEFICIOS_12X36_DIU">'POSTO 12x36 HORAS - DIURNO BEL'!$F$34+'POSTO 12x36 HORAS - DIURNO BEL'!$F$45+'POSTO 12x36 HORAS - DIURNO BEL'!$F$53</definedName>
    <definedName name="MOD_2_ENCARGOS_BENEFICIOS_12X36_NOT" localSheetId="24">'POSTO 12x36 HORAS - NOTU - CAST'!$F$34+'POSTO 12x36 HORAS - NOTU - CAST'!$F$45+'POSTO 12x36 HORAS - NOTU - CAST'!$F$53</definedName>
    <definedName name="MOD_2_ENCARGOS_BENEFICIOS_12X36_NOT" localSheetId="21">'POSTO 12x36 HORAS - NOTURNO ATM'!$F$34+'POSTO 12x36 HORAS - NOTURNO ATM'!$F$45+'POSTO 12x36 HORAS - NOTURNO ATM'!$F$53</definedName>
    <definedName name="MOD_2_ENCARGOS_BENEFICIOS_12X36_NOT" localSheetId="19">'POSTO 12x36 HORAS - NOTURNO ITA'!$F$34+'POSTO 12x36 HORAS - NOTURNO ITA'!$F$45+'POSTO 12x36 HORAS - NOTURNO ITA'!$F$53</definedName>
    <definedName name="MOD_2_ENCARGOS_BENEFICIOS_12X36_NOT" localSheetId="17">'POSTO 12x36 HORAS - NOTURNO MAB'!$F$34+'POSTO 12x36 HORAS - NOTURNO MAB'!$F$45+'POSTO 12x36 HORAS - NOTURNO MAB'!$F$53</definedName>
    <definedName name="MOD_2_ENCARGOS_BENEFICIOS_12X36_NOT" localSheetId="15">'POSTO 12x36 HORAS - NOTURNO PGN'!$F$34+'POSTO 12x36 HORAS - NOTURNO PGN'!$F$45+'POSTO 12x36 HORAS - NOTURNO PGN'!$F$53</definedName>
    <definedName name="MOD_2_ENCARGOS_BENEFICIOS_12X36_NOT" localSheetId="13">'POSTO 12x36 HORAS - NOTURNO RDO'!$F$34+'POSTO 12x36 HORAS - NOTURNO RDO'!$F$45+'POSTO 12x36 HORAS - NOTURNO RDO'!$F$53</definedName>
    <definedName name="MOD_2_ENCARGOS_BENEFICIOS_12X36_NOT" localSheetId="8">'POSTO 12x36 HORAS - NOTURNO STM'!$F$34+'POSTO 12x36 HORAS - NOTURNO STM'!$F$45+'POSTO 12x36 HORAS - NOTURNO STM'!$F$53</definedName>
    <definedName name="MOD_2_ENCARGOS_BENEFICIOS_12X36_NOT" localSheetId="11">'POSTO 12x36 HORAS - NOTURNO TUU'!$F$34+'POSTO 12x36 HORAS - NOTURNO TUU'!$F$45+'POSTO 12x36 HORAS - NOTURNO TUU'!$F$53</definedName>
    <definedName name="MOD_2_ENCARGOS_BENEFICIOS_12X36_NOT">'POSTO 12x36 HORAS - NOTURNO BEL'!$F$34+'POSTO 12x36 HORAS - NOTURNO BEL'!$F$45+'POSTO 12x36 HORAS - NOTURNO BEL'!$F$53</definedName>
    <definedName name="MOD_2_ENCARGOS_BENEFICIOS_44H" localSheetId="9">'POSTO 44 HORAS (STM)'!$F$35+'POSTO 44 HORAS (STM)'!$F$46+'POSTO 44 HORAS (STM)'!$F$54</definedName>
    <definedName name="MOD_2_ENCARGOS_BENEFICIOS_44H" localSheetId="22">'POSTO 44 HORAS ATM'!$F$35+'POSTO 44 HORAS ATM'!$F$46+'POSTO 44 HORAS ATM'!$F$54</definedName>
    <definedName name="MOD_2_ENCARGOS_BENEFICIOS_44H">'POSTO 44 HORAS BEL'!$F$35+'POSTO 44 HORAS BEL'!$F$46+'POSTO 44 HORAS BEL'!$F$54</definedName>
    <definedName name="MOD_3_PROVISAO_RESCISAO_12X36_DIU" localSheetId="23">'POSTO 12x36 HORAS - DIURNO (CAS'!$F$59</definedName>
    <definedName name="MOD_3_PROVISAO_RESCISAO_12X36_DIU" localSheetId="7">'POSTO 12x36 HORAS - DIURNO (STM'!$F$59</definedName>
    <definedName name="MOD_3_PROVISAO_RESCISAO_12X36_DIU" localSheetId="20">'POSTO 12x36 HORAS - DIURNO ATM'!$F$59</definedName>
    <definedName name="MOD_3_PROVISAO_RESCISAO_12X36_DIU" localSheetId="18">'POSTO 12x36 HORAS - DIURNO ITA'!$F$59</definedName>
    <definedName name="MOD_3_PROVISAO_RESCISAO_12X36_DIU" localSheetId="16">'POSTO 12x36 HORAS - DIURNO MAB'!$F$59</definedName>
    <definedName name="MOD_3_PROVISAO_RESCISAO_12X36_DIU" localSheetId="14">'POSTO 12x36 HORAS - DIURNO PGN'!$F$59</definedName>
    <definedName name="MOD_3_PROVISAO_RESCISAO_12X36_DIU" localSheetId="12">'POSTO 12x36 HORAS - DIURNO RDO'!$F$59</definedName>
    <definedName name="MOD_3_PROVISAO_RESCISAO_12X36_DIU" localSheetId="10">'POSTO 12x36 HORAS - DIURNO TUU'!$F$59</definedName>
    <definedName name="MOD_3_PROVISAO_RESCISAO_12X36_DIU">'POSTO 12x36 HORAS - DIURNO BEL'!$F$59</definedName>
    <definedName name="MOD_3_PROVISAO_RESCISAO_12X36_NOT" localSheetId="24">'POSTO 12x36 HORAS - NOTU - CAST'!$F$59</definedName>
    <definedName name="MOD_3_PROVISAO_RESCISAO_12X36_NOT" localSheetId="21">'POSTO 12x36 HORAS - NOTURNO ATM'!$F$59</definedName>
    <definedName name="MOD_3_PROVISAO_RESCISAO_12X36_NOT" localSheetId="19">'POSTO 12x36 HORAS - NOTURNO ITA'!$F$59</definedName>
    <definedName name="MOD_3_PROVISAO_RESCISAO_12X36_NOT" localSheetId="17">'POSTO 12x36 HORAS - NOTURNO MAB'!$F$59</definedName>
    <definedName name="MOD_3_PROVISAO_RESCISAO_12X36_NOT" localSheetId="15">'POSTO 12x36 HORAS - NOTURNO PGN'!$F$59</definedName>
    <definedName name="MOD_3_PROVISAO_RESCISAO_12X36_NOT" localSheetId="13">'POSTO 12x36 HORAS - NOTURNO RDO'!$F$59</definedName>
    <definedName name="MOD_3_PROVISAO_RESCISAO_12X36_NOT" localSheetId="8">'POSTO 12x36 HORAS - NOTURNO STM'!$F$59</definedName>
    <definedName name="MOD_3_PROVISAO_RESCISAO_12X36_NOT" localSheetId="11">'POSTO 12x36 HORAS - NOTURNO TUU'!$F$59</definedName>
    <definedName name="MOD_3_PROVISAO_RESCISAO_12X36_NOT">'POSTO 12x36 HORAS - NOTURNO BEL'!$F$59</definedName>
    <definedName name="MOD_3_PROVISAO_RESCISAO_44H" localSheetId="9">'POSTO 44 HORAS (STM)'!$F$61</definedName>
    <definedName name="MOD_3_PROVISAO_RESCISAO_44H" localSheetId="22">'POSTO 44 HORAS ATM'!$F$61</definedName>
    <definedName name="MOD_3_PROVISAO_RESCISAO_44H">'POSTO 44 HORAS BEL'!$F$61</definedName>
    <definedName name="MOD_4_CUSTO_REPOSICAO_12X36_DIU" localSheetId="23">'POSTO 12x36 HORAS - DIURNO (CAS'!$F$70+'POSTO 12x36 HORAS - DIURNO (CAS'!$F$74</definedName>
    <definedName name="MOD_4_CUSTO_REPOSICAO_12X36_DIU" localSheetId="7">'POSTO 12x36 HORAS - DIURNO (STM'!$F$70+'POSTO 12x36 HORAS - DIURNO (STM'!$F$74</definedName>
    <definedName name="MOD_4_CUSTO_REPOSICAO_12X36_DIU" localSheetId="20">'POSTO 12x36 HORAS - DIURNO ATM'!$F$70+'POSTO 12x36 HORAS - DIURNO ATM'!$F$74</definedName>
    <definedName name="MOD_4_CUSTO_REPOSICAO_12X36_DIU" localSheetId="18">'POSTO 12x36 HORAS - DIURNO ITA'!$F$70+'POSTO 12x36 HORAS - DIURNO ITA'!$F$74</definedName>
    <definedName name="MOD_4_CUSTO_REPOSICAO_12X36_DIU" localSheetId="16">'POSTO 12x36 HORAS - DIURNO MAB'!$F$70+'POSTO 12x36 HORAS - DIURNO MAB'!$F$74</definedName>
    <definedName name="MOD_4_CUSTO_REPOSICAO_12X36_DIU" localSheetId="14">'POSTO 12x36 HORAS - DIURNO PGN'!$F$70+'POSTO 12x36 HORAS - DIURNO PGN'!$F$74</definedName>
    <definedName name="MOD_4_CUSTO_REPOSICAO_12X36_DIU" localSheetId="12">'POSTO 12x36 HORAS - DIURNO RDO'!$F$70+'POSTO 12x36 HORAS - DIURNO RDO'!$F$74</definedName>
    <definedName name="MOD_4_CUSTO_REPOSICAO_12X36_DIU" localSheetId="10">'POSTO 12x36 HORAS - DIURNO TUU'!$F$70+'POSTO 12x36 HORAS - DIURNO TUU'!$F$74</definedName>
    <definedName name="MOD_4_CUSTO_REPOSICAO_12X36_DIU">'POSTO 12x36 HORAS - DIURNO BEL'!$F$70+'POSTO 12x36 HORAS - DIURNO BEL'!$F$74</definedName>
    <definedName name="MOD_4_CUSTO_REPOSICAO_12X36_NOT" localSheetId="24">'POSTO 12x36 HORAS - NOTU - CAST'!$F$70+'POSTO 12x36 HORAS - NOTU - CAST'!$F$74</definedName>
    <definedName name="MOD_4_CUSTO_REPOSICAO_12X36_NOT" localSheetId="21">'POSTO 12x36 HORAS - NOTURNO ATM'!$F$70+'POSTO 12x36 HORAS - NOTURNO ATM'!$F$74</definedName>
    <definedName name="MOD_4_CUSTO_REPOSICAO_12X36_NOT" localSheetId="19">'POSTO 12x36 HORAS - NOTURNO ITA'!$F$70+'POSTO 12x36 HORAS - NOTURNO ITA'!$F$74</definedName>
    <definedName name="MOD_4_CUSTO_REPOSICAO_12X36_NOT" localSheetId="17">'POSTO 12x36 HORAS - NOTURNO MAB'!$F$70+'POSTO 12x36 HORAS - NOTURNO MAB'!$F$74</definedName>
    <definedName name="MOD_4_CUSTO_REPOSICAO_12X36_NOT" localSheetId="15">'POSTO 12x36 HORAS - NOTURNO PGN'!$F$70+'POSTO 12x36 HORAS - NOTURNO PGN'!$F$74</definedName>
    <definedName name="MOD_4_CUSTO_REPOSICAO_12X36_NOT" localSheetId="13">'POSTO 12x36 HORAS - NOTURNO RDO'!$F$70+'POSTO 12x36 HORAS - NOTURNO RDO'!$F$74</definedName>
    <definedName name="MOD_4_CUSTO_REPOSICAO_12X36_NOT" localSheetId="8">'POSTO 12x36 HORAS - NOTURNO STM'!$F$70+'POSTO 12x36 HORAS - NOTURNO STM'!$F$74</definedName>
    <definedName name="MOD_4_CUSTO_REPOSICAO_12X36_NOT" localSheetId="11">'POSTO 12x36 HORAS - NOTURNO TUU'!$F$70+'POSTO 12x36 HORAS - NOTURNO TUU'!$F$74</definedName>
    <definedName name="MOD_4_CUSTO_REPOSICAO_12X36_NOT">'POSTO 12x36 HORAS - NOTURNO BEL'!$F$70+'POSTO 12x36 HORAS - NOTURNO BEL'!$F$74</definedName>
    <definedName name="MOD_4_CUSTO_REPOSICAO_44H" localSheetId="9">'POSTO 44 HORAS (STM)'!$F$72+'POSTO 44 HORAS (STM)'!$F$77</definedName>
    <definedName name="MOD_4_CUSTO_REPOSICAO_44H" localSheetId="22">'POSTO 44 HORAS ATM'!$F$72+'POSTO 44 HORAS ATM'!$F$77</definedName>
    <definedName name="MOD_4_CUSTO_REPOSICAO_44H">'POSTO 44 HORAS BEL'!$F$72+'POSTO 44 HORAS BEL'!$F$77</definedName>
    <definedName name="MOD_5_INSUMOS_12X36_DIU" localSheetId="23">'POSTO 12x36 HORAS - DIURNO (CAS'!$F$82</definedName>
    <definedName name="MOD_5_INSUMOS_12X36_DIU" localSheetId="7">'POSTO 12x36 HORAS - DIURNO (STM'!$F$82</definedName>
    <definedName name="MOD_5_INSUMOS_12X36_DIU" localSheetId="20">'POSTO 12x36 HORAS - DIURNO ATM'!$F$82</definedName>
    <definedName name="MOD_5_INSUMOS_12X36_DIU" localSheetId="18">'POSTO 12x36 HORAS - DIURNO ITA'!$F$82</definedName>
    <definedName name="MOD_5_INSUMOS_12X36_DIU" localSheetId="16">'POSTO 12x36 HORAS - DIURNO MAB'!$F$82</definedName>
    <definedName name="MOD_5_INSUMOS_12X36_DIU" localSheetId="14">'POSTO 12x36 HORAS - DIURNO PGN'!$F$82</definedName>
    <definedName name="MOD_5_INSUMOS_12X36_DIU" localSheetId="12">'POSTO 12x36 HORAS - DIURNO RDO'!$F$82</definedName>
    <definedName name="MOD_5_INSUMOS_12X36_DIU" localSheetId="10">'POSTO 12x36 HORAS - DIURNO TUU'!$F$82</definedName>
    <definedName name="MOD_5_INSUMOS_12X36_DIU">'POSTO 12x36 HORAS - DIURNO BEL'!$F$82</definedName>
    <definedName name="MOD_5_INSUMOS_12X36_NOT" localSheetId="24">'POSTO 12x36 HORAS - NOTU - CAST'!$F$82</definedName>
    <definedName name="MOD_5_INSUMOS_12X36_NOT" localSheetId="21">'POSTO 12x36 HORAS - NOTURNO ATM'!$F$82</definedName>
    <definedName name="MOD_5_INSUMOS_12X36_NOT" localSheetId="19">'POSTO 12x36 HORAS - NOTURNO ITA'!$F$82</definedName>
    <definedName name="MOD_5_INSUMOS_12X36_NOT" localSheetId="17">'POSTO 12x36 HORAS - NOTURNO MAB'!$F$82</definedName>
    <definedName name="MOD_5_INSUMOS_12X36_NOT" localSheetId="15">'POSTO 12x36 HORAS - NOTURNO PGN'!$F$82</definedName>
    <definedName name="MOD_5_INSUMOS_12X36_NOT" localSheetId="13">'POSTO 12x36 HORAS - NOTURNO RDO'!$F$82</definedName>
    <definedName name="MOD_5_INSUMOS_12X36_NOT" localSheetId="8">'POSTO 12x36 HORAS - NOTURNO STM'!$F$82</definedName>
    <definedName name="MOD_5_INSUMOS_12X36_NOT" localSheetId="11">'POSTO 12x36 HORAS - NOTURNO TUU'!$F$82</definedName>
    <definedName name="MOD_5_INSUMOS_12X36_NOT">'POSTO 12x36 HORAS - NOTURNO BEL'!$F$82</definedName>
    <definedName name="MOD_5_INSUMOS_44H" localSheetId="9">'POSTO 44 HORAS (STM)'!$F$85</definedName>
    <definedName name="MOD_5_INSUMOS_44H" localSheetId="22">'POSTO 44 HORAS ATM'!$F$85</definedName>
    <definedName name="MOD_5_INSUMOS_44H">'POSTO 44 HORAS BEL'!$F$85</definedName>
    <definedName name="MOD_6_CUSTOS_IND_LUCRO_TRIB_12X36_DIU" localSheetId="23">'POSTO 12x36 HORAS - DIURNO (CAS'!$F$92</definedName>
    <definedName name="MOD_6_CUSTOS_IND_LUCRO_TRIB_12X36_DIU" localSheetId="7">'POSTO 12x36 HORAS - DIURNO (STM'!$F$92</definedName>
    <definedName name="MOD_6_CUSTOS_IND_LUCRO_TRIB_12X36_DIU" localSheetId="20">'POSTO 12x36 HORAS - DIURNO ATM'!$F$92</definedName>
    <definedName name="MOD_6_CUSTOS_IND_LUCRO_TRIB_12X36_DIU" localSheetId="18">'POSTO 12x36 HORAS - DIURNO ITA'!$F$92</definedName>
    <definedName name="MOD_6_CUSTOS_IND_LUCRO_TRIB_12X36_DIU" localSheetId="16">'POSTO 12x36 HORAS - DIURNO MAB'!$F$92</definedName>
    <definedName name="MOD_6_CUSTOS_IND_LUCRO_TRIB_12X36_DIU" localSheetId="14">'POSTO 12x36 HORAS - DIURNO PGN'!$F$92</definedName>
    <definedName name="MOD_6_CUSTOS_IND_LUCRO_TRIB_12X36_DIU" localSheetId="12">'POSTO 12x36 HORAS - DIURNO RDO'!$F$92</definedName>
    <definedName name="MOD_6_CUSTOS_IND_LUCRO_TRIB_12X36_DIU" localSheetId="10">'POSTO 12x36 HORAS - DIURNO TUU'!$F$92</definedName>
    <definedName name="MOD_6_CUSTOS_IND_LUCRO_TRIB_12X36_DIU">'POSTO 12x36 HORAS - DIURNO BEL'!$F$92</definedName>
    <definedName name="MOD_6_CUSTOS_IND_LUCRO_TRIB_12X36_NOT" localSheetId="24">'POSTO 12x36 HORAS - NOTU - CAST'!$F$92</definedName>
    <definedName name="MOD_6_CUSTOS_IND_LUCRO_TRIB_12X36_NOT" localSheetId="21">'POSTO 12x36 HORAS - NOTURNO ATM'!$F$92</definedName>
    <definedName name="MOD_6_CUSTOS_IND_LUCRO_TRIB_12X36_NOT" localSheetId="19">'POSTO 12x36 HORAS - NOTURNO ITA'!$F$92</definedName>
    <definedName name="MOD_6_CUSTOS_IND_LUCRO_TRIB_12X36_NOT" localSheetId="17">'POSTO 12x36 HORAS - NOTURNO MAB'!$F$92</definedName>
    <definedName name="MOD_6_CUSTOS_IND_LUCRO_TRIB_12X36_NOT" localSheetId="15">'POSTO 12x36 HORAS - NOTURNO PGN'!$F$92</definedName>
    <definedName name="MOD_6_CUSTOS_IND_LUCRO_TRIB_12X36_NOT" localSheetId="13">'POSTO 12x36 HORAS - NOTURNO RDO'!$F$92</definedName>
    <definedName name="MOD_6_CUSTOS_IND_LUCRO_TRIB_12X36_NOT" localSheetId="8">'POSTO 12x36 HORAS - NOTURNO STM'!$F$92</definedName>
    <definedName name="MOD_6_CUSTOS_IND_LUCRO_TRIB_12X36_NOT" localSheetId="11">'POSTO 12x36 HORAS - NOTURNO TUU'!$F$92</definedName>
    <definedName name="MOD_6_CUSTOS_IND_LUCRO_TRIB_12X36_NOT">'POSTO 12x36 HORAS - NOTURNO BEL'!$F$92</definedName>
    <definedName name="MOD_6_CUSTOS_IND_LUCRO_TRIB_44H" localSheetId="9">'POSTO 44 HORAS (STM)'!$F$95</definedName>
    <definedName name="MOD_6_CUSTOS_IND_LUCRO_TRIB_44H" localSheetId="22">'POSTO 44 HORAS ATM'!$F$95</definedName>
    <definedName name="MOD_6_CUSTOS_IND_LUCRO_TRIB_44H">'POSTO 44 HORAS BEL'!$F$95</definedName>
    <definedName name="MODALIDADE_DE_LICITACAO">'INSERÇÃO-DE-DADOS'!$D$6</definedName>
    <definedName name="NUMERO_MESES_EXEC_CONTRATUAL">'INSERÇÃO-DE-DADOS'!$F$14</definedName>
    <definedName name="NUMERO_PREGAO">'INSERÇÃO-DE-DADOS'!$F$6</definedName>
    <definedName name="NUMERO_PROCESSO">'INSERÇÃO-DE-DADOS'!$D$5</definedName>
    <definedName name="OUTRAS_AUSENCIAS">'ENCARGOS-SOCIAIS-E-TRABALHISTAS'!$E$31</definedName>
    <definedName name="OUTRAS_AUSENCIAS_DESCRICAO">'INSERÇÃO-DE-DADOS'!$C$65</definedName>
    <definedName name="OUTROS_BENEFICIOS_1">'INSERÇÃO-DE-DADOS'!$F$59</definedName>
    <definedName name="OUTROS_BENEFICIOS_1_DESCRICAO">'INSERÇÃO-DE-DADOS'!$C$59</definedName>
    <definedName name="OUTROS_BENEFICIOS_2">'INSERÇÃO-DE-DADOS'!$F$60</definedName>
    <definedName name="OUTROS_BENEFICIOS_2_DESCRICAO">'INSERÇÃO-DE-DADOS'!$C$60</definedName>
    <definedName name="OUTROS_BENEFICIOS_3">'INSERÇÃO-DE-DADOS'!$F$61</definedName>
    <definedName name="OUTROS_BENEFICIOS_3_DESCRICAO">'INSERÇÃO-DE-DADOS'!$C$61</definedName>
    <definedName name="OUTROS_INSUMOS">'INSERÇÃO-DE-DADOS'!$F$76</definedName>
    <definedName name="OUTROS_INSUMOS_DESCRICAO">'INSERÇÃO-DE-DADOS'!$C$76</definedName>
    <definedName name="OUTROS_REMUNERACAO_1">'INSERÇÃO-DE-DADOS'!$F$53</definedName>
    <definedName name="OUTROS_REMUNERACAO_1_DESCRICAO">'INSERÇÃO-DE-DADOS'!$C$53:$E$53</definedName>
    <definedName name="OUTROS_REMUNERACAO_2">'INSERÇÃO-DE-DADOS'!$F$54</definedName>
    <definedName name="OUTROS_REMUNERACAO_2_DESCRICAO">'INSERÇÃO-DE-DADOS'!$C$54:$E$54</definedName>
    <definedName name="OUTROS_REMUNERACAO_3" localSheetId="23">'INSERÇÃO-DE-DADOS'!#REF!</definedName>
    <definedName name="OUTROS_REMUNERACAO_3" localSheetId="10">'INSERÇÃO-DE-DADOS'!#REF!</definedName>
    <definedName name="OUTROS_REMUNERACAO_3" localSheetId="24">'INSERÇÃO-DE-DADOS'!#REF!</definedName>
    <definedName name="OUTROS_REMUNERACAO_3" localSheetId="11">'INSERÇÃO-DE-DADOS'!#REF!</definedName>
    <definedName name="OUTROS_REMUNERACAO_3">'INSERÇÃO-DE-DADOS'!#REF!</definedName>
    <definedName name="OUTROS_REMUNERACAO_3_DESCRICAO" localSheetId="23">'INSERÇÃO-DE-DADOS'!#REF!</definedName>
    <definedName name="OUTROS_REMUNERACAO_3_DESCRICAO" localSheetId="10">'INSERÇÃO-DE-DADOS'!#REF!</definedName>
    <definedName name="OUTROS_REMUNERACAO_3_DESCRICAO" localSheetId="24">'INSERÇÃO-DE-DADOS'!#REF!</definedName>
    <definedName name="OUTROS_REMUNERACAO_3_DESCRICAO" localSheetId="11">'INSERÇÃO-DE-DADOS'!#REF!</definedName>
    <definedName name="OUTROS_REMUNERACAO_3_DESCRICAO">'INSERÇÃO-DE-DADOS'!#REF!</definedName>
    <definedName name="PERC_ADIC_FERIAS">'ENCARGOS-SOCIAIS-E-TRABALHISTAS'!$E$6</definedName>
    <definedName name="PERC_ADIC_NOT">'INSERÇÃO-DE-DADOS'!$F$52</definedName>
    <definedName name="PERC_ADIC_PERIC">'INSERÇÃO-DE-DADOS'!$F$51</definedName>
    <definedName name="PERC_AVISO_PREVIO_IND">'ENCARGOS-SOCIAIS-E-TRABALHISTAS'!$E$20</definedName>
    <definedName name="PERC_AVISO_PREVIO_TRAB">'ENCARGOS-SOCIAIS-E-TRABALHISTAS'!$E$21</definedName>
    <definedName name="PERC_COFINS">'INSERÇÃO-DE-DADOS'!$F$82</definedName>
    <definedName name="PERC_CONTRIB_SOCIAL" localSheetId="23">'DADOS-ESTATISTICOS'!#REF!</definedName>
    <definedName name="PERC_CONTRIB_SOCIAL" localSheetId="7">'DADOS-ESTATISTICOS'!#REF!</definedName>
    <definedName name="PERC_CONTRIB_SOCIAL" localSheetId="20">'DADOS-ESTATISTICOS'!#REF!</definedName>
    <definedName name="PERC_CONTRIB_SOCIAL" localSheetId="18">'DADOS-ESTATISTICOS'!#REF!</definedName>
    <definedName name="PERC_CONTRIB_SOCIAL" localSheetId="16">'DADOS-ESTATISTICOS'!#REF!</definedName>
    <definedName name="PERC_CONTRIB_SOCIAL" localSheetId="14">'DADOS-ESTATISTICOS'!#REF!</definedName>
    <definedName name="PERC_CONTRIB_SOCIAL" localSheetId="12">'DADOS-ESTATISTICOS'!#REF!</definedName>
    <definedName name="PERC_CONTRIB_SOCIAL" localSheetId="10">'DADOS-ESTATISTICOS'!#REF!</definedName>
    <definedName name="PERC_CONTRIB_SOCIAL" localSheetId="24">'DADOS-ESTATISTICOS'!#REF!</definedName>
    <definedName name="PERC_CONTRIB_SOCIAL" localSheetId="21">'DADOS-ESTATISTICOS'!#REF!</definedName>
    <definedName name="PERC_CONTRIB_SOCIAL" localSheetId="19">'DADOS-ESTATISTICOS'!#REF!</definedName>
    <definedName name="PERC_CONTRIB_SOCIAL" localSheetId="17">'DADOS-ESTATISTICOS'!#REF!</definedName>
    <definedName name="PERC_CONTRIB_SOCIAL" localSheetId="15">'DADOS-ESTATISTICOS'!#REF!</definedName>
    <definedName name="PERC_CONTRIB_SOCIAL" localSheetId="13">'DADOS-ESTATISTICOS'!#REF!</definedName>
    <definedName name="PERC_CONTRIB_SOCIAL" localSheetId="8">'DADOS-ESTATISTICOS'!#REF!</definedName>
    <definedName name="PERC_CONTRIB_SOCIAL" localSheetId="11">'DADOS-ESTATISTICOS'!#REF!</definedName>
    <definedName name="PERC_CONTRIB_SOCIAL" localSheetId="9">'DADOS-ESTATISTICOS'!#REF!</definedName>
    <definedName name="PERC_CONTRIB_SOCIAL" localSheetId="22">'DADOS-ESTATISTICOS'!#REF!</definedName>
    <definedName name="PERC_CONTRIB_SOCIAL">'DADOS-ESTATISTICOS'!#REF!</definedName>
    <definedName name="PERC_CUSTOS_INDIRETOS">'INSERÇÃO-DE-DADOS'!$F$79</definedName>
    <definedName name="PERC_DEC_TERC">'ENCARGOS-SOCIAIS-E-TRABALHISTAS'!$E$5</definedName>
    <definedName name="PERC_DESC_TRANSP_REMUNERACAO">'DADOS-ESTATISTICOS'!$F$14</definedName>
    <definedName name="PERC_EMPREG_AFAST_TRAB">'DADOS-ESTATISTICOS'!$F$33</definedName>
    <definedName name="PERC_EMPREG_AVISO_PREVIO_IND">'DADOS-ESTATISTICOS'!$F$21</definedName>
    <definedName name="PERC_EMPREG_AVISO_PREVIO_TRAB">'DADOS-ESTATISTICOS'!$F$23</definedName>
    <definedName name="PERC_EMPREG_DEMIT_SEM_JUSTA_CAUSA_TOTAL_DESLIG">'DADOS-ESTATISTICOS'!$F$20</definedName>
    <definedName name="PERC_FGTS">'ENCARGOS-SOCIAIS-E-TRABALHISTAS'!$E$16</definedName>
    <definedName name="PERC_FGTS_AVISO_PREV_IND" localSheetId="23">'ENCARGOS-SOCIAIS-E-TRABALHISTAS'!#REF!</definedName>
    <definedName name="PERC_FGTS_AVISO_PREV_IND" localSheetId="7">'ENCARGOS-SOCIAIS-E-TRABALHISTAS'!#REF!</definedName>
    <definedName name="PERC_FGTS_AVISO_PREV_IND" localSheetId="20">'ENCARGOS-SOCIAIS-E-TRABALHISTAS'!#REF!</definedName>
    <definedName name="PERC_FGTS_AVISO_PREV_IND" localSheetId="18">'ENCARGOS-SOCIAIS-E-TRABALHISTAS'!#REF!</definedName>
    <definedName name="PERC_FGTS_AVISO_PREV_IND" localSheetId="16">'ENCARGOS-SOCIAIS-E-TRABALHISTAS'!#REF!</definedName>
    <definedName name="PERC_FGTS_AVISO_PREV_IND" localSheetId="14">'ENCARGOS-SOCIAIS-E-TRABALHISTAS'!#REF!</definedName>
    <definedName name="PERC_FGTS_AVISO_PREV_IND" localSheetId="12">'ENCARGOS-SOCIAIS-E-TRABALHISTAS'!#REF!</definedName>
    <definedName name="PERC_FGTS_AVISO_PREV_IND" localSheetId="10">'ENCARGOS-SOCIAIS-E-TRABALHISTAS'!#REF!</definedName>
    <definedName name="PERC_FGTS_AVISO_PREV_IND" localSheetId="24">'ENCARGOS-SOCIAIS-E-TRABALHISTAS'!#REF!</definedName>
    <definedName name="PERC_FGTS_AVISO_PREV_IND" localSheetId="21">'ENCARGOS-SOCIAIS-E-TRABALHISTAS'!#REF!</definedName>
    <definedName name="PERC_FGTS_AVISO_PREV_IND" localSheetId="19">'ENCARGOS-SOCIAIS-E-TRABALHISTAS'!#REF!</definedName>
    <definedName name="PERC_FGTS_AVISO_PREV_IND" localSheetId="17">'ENCARGOS-SOCIAIS-E-TRABALHISTAS'!#REF!</definedName>
    <definedName name="PERC_FGTS_AVISO_PREV_IND" localSheetId="15">'ENCARGOS-SOCIAIS-E-TRABALHISTAS'!#REF!</definedName>
    <definedName name="PERC_FGTS_AVISO_PREV_IND" localSheetId="13">'ENCARGOS-SOCIAIS-E-TRABALHISTAS'!#REF!</definedName>
    <definedName name="PERC_FGTS_AVISO_PREV_IND" localSheetId="8">'ENCARGOS-SOCIAIS-E-TRABALHISTAS'!#REF!</definedName>
    <definedName name="PERC_FGTS_AVISO_PREV_IND" localSheetId="11">'ENCARGOS-SOCIAIS-E-TRABALHISTAS'!#REF!</definedName>
    <definedName name="PERC_FGTS_AVISO_PREV_IND" localSheetId="9">'ENCARGOS-SOCIAIS-E-TRABALHISTAS'!#REF!</definedName>
    <definedName name="PERC_FGTS_AVISO_PREV_IND" localSheetId="22">'ENCARGOS-SOCIAIS-E-TRABALHISTAS'!#REF!</definedName>
    <definedName name="PERC_FGTS_AVISO_PREV_IND">'ENCARGOS-SOCIAIS-E-TRABALHISTAS'!#REF!</definedName>
    <definedName name="PERC_GPS_FGTS">'ENCARGOS-SOCIAIS-E-TRABALHISTAS'!$E$17</definedName>
    <definedName name="PERC_GPS_FGTS_AVISO_PREVIO_TRAB" localSheetId="23">'ENCARGOS-SOCIAIS-E-TRABALHISTAS'!#REF!</definedName>
    <definedName name="PERC_GPS_FGTS_AVISO_PREVIO_TRAB" localSheetId="7">'ENCARGOS-SOCIAIS-E-TRABALHISTAS'!#REF!</definedName>
    <definedName name="PERC_GPS_FGTS_AVISO_PREVIO_TRAB" localSheetId="20">'ENCARGOS-SOCIAIS-E-TRABALHISTAS'!#REF!</definedName>
    <definedName name="PERC_GPS_FGTS_AVISO_PREVIO_TRAB" localSheetId="18">'ENCARGOS-SOCIAIS-E-TRABALHISTAS'!#REF!</definedName>
    <definedName name="PERC_GPS_FGTS_AVISO_PREVIO_TRAB" localSheetId="16">'ENCARGOS-SOCIAIS-E-TRABALHISTAS'!#REF!</definedName>
    <definedName name="PERC_GPS_FGTS_AVISO_PREVIO_TRAB" localSheetId="14">'ENCARGOS-SOCIAIS-E-TRABALHISTAS'!#REF!</definedName>
    <definedName name="PERC_GPS_FGTS_AVISO_PREVIO_TRAB" localSheetId="12">'ENCARGOS-SOCIAIS-E-TRABALHISTAS'!#REF!</definedName>
    <definedName name="PERC_GPS_FGTS_AVISO_PREVIO_TRAB" localSheetId="10">'ENCARGOS-SOCIAIS-E-TRABALHISTAS'!#REF!</definedName>
    <definedName name="PERC_GPS_FGTS_AVISO_PREVIO_TRAB" localSheetId="24">'ENCARGOS-SOCIAIS-E-TRABALHISTAS'!#REF!</definedName>
    <definedName name="PERC_GPS_FGTS_AVISO_PREVIO_TRAB" localSheetId="21">'ENCARGOS-SOCIAIS-E-TRABALHISTAS'!#REF!</definedName>
    <definedName name="PERC_GPS_FGTS_AVISO_PREVIO_TRAB" localSheetId="19">'ENCARGOS-SOCIAIS-E-TRABALHISTAS'!#REF!</definedName>
    <definedName name="PERC_GPS_FGTS_AVISO_PREVIO_TRAB" localSheetId="17">'ENCARGOS-SOCIAIS-E-TRABALHISTAS'!#REF!</definedName>
    <definedName name="PERC_GPS_FGTS_AVISO_PREVIO_TRAB" localSheetId="15">'ENCARGOS-SOCIAIS-E-TRABALHISTAS'!#REF!</definedName>
    <definedName name="PERC_GPS_FGTS_AVISO_PREVIO_TRAB" localSheetId="13">'ENCARGOS-SOCIAIS-E-TRABALHISTAS'!#REF!</definedName>
    <definedName name="PERC_GPS_FGTS_AVISO_PREVIO_TRAB" localSheetId="8">'ENCARGOS-SOCIAIS-E-TRABALHISTAS'!#REF!</definedName>
    <definedName name="PERC_GPS_FGTS_AVISO_PREVIO_TRAB" localSheetId="11">'ENCARGOS-SOCIAIS-E-TRABALHISTAS'!#REF!</definedName>
    <definedName name="PERC_GPS_FGTS_AVISO_PREVIO_TRAB" localSheetId="9">'ENCARGOS-SOCIAIS-E-TRABALHISTAS'!#REF!</definedName>
    <definedName name="PERC_GPS_FGTS_AVISO_PREVIO_TRAB" localSheetId="22">'ENCARGOS-SOCIAIS-E-TRABALHISTAS'!#REF!</definedName>
    <definedName name="PERC_GPS_FGTS_AVISO_PREVIO_TRAB">'ENCARGOS-SOCIAIS-E-TRABALHISTAS'!#REF!</definedName>
    <definedName name="PERC_HORA_EXTRA">'INSERÇÃO-DE-DADOS'!$F$68</definedName>
    <definedName name="PERC_INCRA">'ENCARGOS-SOCIAIS-E-TRABALHISTAS'!$E$15</definedName>
    <definedName name="PERC_INSS">'ENCARGOS-SOCIAIS-E-TRABALHISTAS'!$E$9</definedName>
    <definedName name="PERC_ISS">'INSERÇÃO-DE-DADOS'!$F$83</definedName>
    <definedName name="PERC_LUCRO">'INSERÇÃO-DE-DADOS'!$F$80</definedName>
    <definedName name="PERC_MOD_3_PROVISAO_RESCISAO" localSheetId="24">'POSTO 12x36 HORAS - NOTU - CAST'!$E$59</definedName>
    <definedName name="PERC_MOD_3_PROVISAO_RESCISAO" localSheetId="21">'POSTO 12x36 HORAS - NOTURNO ATM'!$E$59</definedName>
    <definedName name="PERC_MOD_3_PROVISAO_RESCISAO" localSheetId="19">'POSTO 12x36 HORAS - NOTURNO ITA'!$E$59</definedName>
    <definedName name="PERC_MOD_3_PROVISAO_RESCISAO" localSheetId="17">'POSTO 12x36 HORAS - NOTURNO MAB'!$E$59</definedName>
    <definedName name="PERC_MOD_3_PROVISAO_RESCISAO" localSheetId="15">'POSTO 12x36 HORAS - NOTURNO PGN'!$E$59</definedName>
    <definedName name="PERC_MOD_3_PROVISAO_RESCISAO" localSheetId="13">'POSTO 12x36 HORAS - NOTURNO RDO'!$E$59</definedName>
    <definedName name="PERC_MOD_3_PROVISAO_RESCISAO" localSheetId="8">'POSTO 12x36 HORAS - NOTURNO STM'!$E$59</definedName>
    <definedName name="PERC_MOD_3_PROVISAO_RESCISAO" localSheetId="11">'POSTO 12x36 HORAS - NOTURNO TUU'!$E$59</definedName>
    <definedName name="PERC_MOD_3_PROVISAO_RESCISAO">'POSTO 12x36 HORAS - NOTURNO BEL'!$E$59</definedName>
    <definedName name="PERC_MULTA_FGTS">'DADOS-ESTATISTICOS'!$F$22</definedName>
    <definedName name="PERC_MULTA_FGTS_AV_PREV_IND" localSheetId="23">'ENCARGOS-SOCIAIS-E-TRABALHISTAS'!#REF!</definedName>
    <definedName name="PERC_MULTA_FGTS_AV_PREV_IND" localSheetId="7">'ENCARGOS-SOCIAIS-E-TRABALHISTAS'!#REF!</definedName>
    <definedName name="PERC_MULTA_FGTS_AV_PREV_IND" localSheetId="20">'ENCARGOS-SOCIAIS-E-TRABALHISTAS'!#REF!</definedName>
    <definedName name="PERC_MULTA_FGTS_AV_PREV_IND" localSheetId="18">'ENCARGOS-SOCIAIS-E-TRABALHISTAS'!#REF!</definedName>
    <definedName name="PERC_MULTA_FGTS_AV_PREV_IND" localSheetId="16">'ENCARGOS-SOCIAIS-E-TRABALHISTAS'!#REF!</definedName>
    <definedName name="PERC_MULTA_FGTS_AV_PREV_IND" localSheetId="14">'ENCARGOS-SOCIAIS-E-TRABALHISTAS'!#REF!</definedName>
    <definedName name="PERC_MULTA_FGTS_AV_PREV_IND" localSheetId="12">'ENCARGOS-SOCIAIS-E-TRABALHISTAS'!#REF!</definedName>
    <definedName name="PERC_MULTA_FGTS_AV_PREV_IND" localSheetId="10">'ENCARGOS-SOCIAIS-E-TRABALHISTAS'!#REF!</definedName>
    <definedName name="PERC_MULTA_FGTS_AV_PREV_IND" localSheetId="24">'ENCARGOS-SOCIAIS-E-TRABALHISTAS'!#REF!</definedName>
    <definedName name="PERC_MULTA_FGTS_AV_PREV_IND" localSheetId="21">'ENCARGOS-SOCIAIS-E-TRABALHISTAS'!#REF!</definedName>
    <definedName name="PERC_MULTA_FGTS_AV_PREV_IND" localSheetId="19">'ENCARGOS-SOCIAIS-E-TRABALHISTAS'!#REF!</definedName>
    <definedName name="PERC_MULTA_FGTS_AV_PREV_IND" localSheetId="17">'ENCARGOS-SOCIAIS-E-TRABALHISTAS'!#REF!</definedName>
    <definedName name="PERC_MULTA_FGTS_AV_PREV_IND" localSheetId="15">'ENCARGOS-SOCIAIS-E-TRABALHISTAS'!#REF!</definedName>
    <definedName name="PERC_MULTA_FGTS_AV_PREV_IND" localSheetId="13">'ENCARGOS-SOCIAIS-E-TRABALHISTAS'!#REF!</definedName>
    <definedName name="PERC_MULTA_FGTS_AV_PREV_IND" localSheetId="8">'ENCARGOS-SOCIAIS-E-TRABALHISTAS'!#REF!</definedName>
    <definedName name="PERC_MULTA_FGTS_AV_PREV_IND" localSheetId="11">'ENCARGOS-SOCIAIS-E-TRABALHISTAS'!#REF!</definedName>
    <definedName name="PERC_MULTA_FGTS_AV_PREV_IND" localSheetId="9">'ENCARGOS-SOCIAIS-E-TRABALHISTAS'!#REF!</definedName>
    <definedName name="PERC_MULTA_FGTS_AV_PREV_IND" localSheetId="22">'ENCARGOS-SOCIAIS-E-TRABALHISTAS'!#REF!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'DADOS-ESTATISTICOS'!$F$31</definedName>
    <definedName name="PERC_PARTIC_FEM_VIGIL">'DADOS-ESTATISTICOS'!$F$36</definedName>
    <definedName name="PERC_PARTIC_MASC_VIGIL">'DADOS-ESTATISTICOS'!$F$32</definedName>
    <definedName name="PERC_PIS">'INSERÇÃO-DE-DADOS'!$F$81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'INSERÇÃO-DE-DADOS'!$F$65</definedName>
    <definedName name="PERC_TRIBUTOS" localSheetId="24">'POSTO 12x36 HORAS - NOTU - CAST'!$E$88</definedName>
    <definedName name="PERC_TRIBUTOS" localSheetId="21">'POSTO 12x36 HORAS - NOTURNO ATM'!$E$88</definedName>
    <definedName name="PERC_TRIBUTOS" localSheetId="19">'POSTO 12x36 HORAS - NOTURNO ITA'!$E$88</definedName>
    <definedName name="PERC_TRIBUTOS" localSheetId="17">'POSTO 12x36 HORAS - NOTURNO MAB'!$E$88</definedName>
    <definedName name="PERC_TRIBUTOS" localSheetId="15">'POSTO 12x36 HORAS - NOTURNO PGN'!$E$88</definedName>
    <definedName name="PERC_TRIBUTOS" localSheetId="13">'POSTO 12x36 HORAS - NOTURNO RDO'!$E$88</definedName>
    <definedName name="PERC_TRIBUTOS" localSheetId="8">'POSTO 12x36 HORAS - NOTURNO STM'!$E$88</definedName>
    <definedName name="PERC_TRIBUTOS" localSheetId="11">'POSTO 12x36 HORAS - NOTURNO TUU'!$E$88</definedName>
    <definedName name="PERC_TRIBUTOS">'POSTO 12x36 HORAS - NOTURNO BEL'!$E$88</definedName>
    <definedName name="POSTO_12X36_DIU">'INSERÇÃO-DE-DADOS'!$C$18</definedName>
    <definedName name="POSTO_12X36_NOT">'INSERÇÃO-DE-DADOS'!$C$19</definedName>
    <definedName name="POSTO_44H">'INSERÇÃO-DE-DADOS'!$C$20</definedName>
    <definedName name="QTDE_DE_POSTOS_12X36_DIU">'INSERÇÃO-DE-DADOS'!$F$18</definedName>
    <definedName name="QTDE_DE_POSTOS_12X36_NOT">'INSERÇÃO-DE-DADOS'!$F$19</definedName>
    <definedName name="QTDE_DE_POSTOS_44H">'INSERÇÃO-DE-DADOS'!$F$20</definedName>
    <definedName name="RAMO">'INSERÇÃO-DE-DADOS'!$B$1</definedName>
    <definedName name="SALARIO_BASE">'INSERÇÃO-DE-DADOS'!$F$50</definedName>
    <definedName name="SUBMOD_2_1_DEC_TERC_ADIC_FERIAS_12X36_DIU" localSheetId="23">'POSTO 12x36 HORAS - DIURNO (CAS'!$F$34</definedName>
    <definedName name="SUBMOD_2_1_DEC_TERC_ADIC_FERIAS_12X36_DIU" localSheetId="7">'POSTO 12x36 HORAS - DIURNO (STM'!$F$34</definedName>
    <definedName name="SUBMOD_2_1_DEC_TERC_ADIC_FERIAS_12X36_DIU" localSheetId="20">'POSTO 12x36 HORAS - DIURNO ATM'!$F$34</definedName>
    <definedName name="SUBMOD_2_1_DEC_TERC_ADIC_FERIAS_12X36_DIU" localSheetId="18">'POSTO 12x36 HORAS - DIURNO ITA'!$F$34</definedName>
    <definedName name="SUBMOD_2_1_DEC_TERC_ADIC_FERIAS_12X36_DIU" localSheetId="16">'POSTO 12x36 HORAS - DIURNO MAB'!$F$34</definedName>
    <definedName name="SUBMOD_2_1_DEC_TERC_ADIC_FERIAS_12X36_DIU" localSheetId="14">'POSTO 12x36 HORAS - DIURNO PGN'!$F$34</definedName>
    <definedName name="SUBMOD_2_1_DEC_TERC_ADIC_FERIAS_12X36_DIU" localSheetId="12">'POSTO 12x36 HORAS - DIURNO RDO'!$F$34</definedName>
    <definedName name="SUBMOD_2_1_DEC_TERC_ADIC_FERIAS_12X36_DIU" localSheetId="10">'POSTO 12x36 HORAS - DIURNO TUU'!$F$34</definedName>
    <definedName name="SUBMOD_2_1_DEC_TERC_ADIC_FERIAS_12X36_DIU">'POSTO 12x36 HORAS - DIURNO BEL'!$F$34</definedName>
    <definedName name="SUBMOD_2_1_DEC_TERC_ADIC_FERIAS_12X36_NOT" localSheetId="24">'POSTO 12x36 HORAS - NOTU - CAST'!$F$34</definedName>
    <definedName name="SUBMOD_2_1_DEC_TERC_ADIC_FERIAS_12X36_NOT" localSheetId="21">'POSTO 12x36 HORAS - NOTURNO ATM'!$F$34</definedName>
    <definedName name="SUBMOD_2_1_DEC_TERC_ADIC_FERIAS_12X36_NOT" localSheetId="19">'POSTO 12x36 HORAS - NOTURNO ITA'!$F$34</definedName>
    <definedName name="SUBMOD_2_1_DEC_TERC_ADIC_FERIAS_12X36_NOT" localSheetId="17">'POSTO 12x36 HORAS - NOTURNO MAB'!$F$34</definedName>
    <definedName name="SUBMOD_2_1_DEC_TERC_ADIC_FERIAS_12X36_NOT" localSheetId="15">'POSTO 12x36 HORAS - NOTURNO PGN'!$F$34</definedName>
    <definedName name="SUBMOD_2_1_DEC_TERC_ADIC_FERIAS_12X36_NOT" localSheetId="13">'POSTO 12x36 HORAS - NOTURNO RDO'!$F$34</definedName>
    <definedName name="SUBMOD_2_1_DEC_TERC_ADIC_FERIAS_12X36_NOT" localSheetId="8">'POSTO 12x36 HORAS - NOTURNO STM'!$F$34</definedName>
    <definedName name="SUBMOD_2_1_DEC_TERC_ADIC_FERIAS_12X36_NOT" localSheetId="11">'POSTO 12x36 HORAS - NOTURNO TUU'!$F$34</definedName>
    <definedName name="SUBMOD_2_1_DEC_TERC_ADIC_FERIAS_12X36_NOT">'POSTO 12x36 HORAS - NOTURNO BEL'!$F$34</definedName>
    <definedName name="SUBMOD_2_1_DEC_TERC_ADIC_FERIAS_44H" localSheetId="9">'POSTO 44 HORAS (STM)'!$F$35</definedName>
    <definedName name="SUBMOD_2_1_DEC_TERC_ADIC_FERIAS_44H" localSheetId="22">'POSTO 44 HORAS ATM'!$F$35</definedName>
    <definedName name="SUBMOD_2_1_DEC_TERC_ADIC_FERIAS_44H">'POSTO 44 HORAS BEL'!$F$35</definedName>
    <definedName name="SUBMOD_2_2_GPS_FGTS_12X36_DIU" localSheetId="23">'POSTO 12x36 HORAS - DIURNO (CAS'!$F$45</definedName>
    <definedName name="SUBMOD_2_2_GPS_FGTS_12X36_DIU" localSheetId="7">'POSTO 12x36 HORAS - DIURNO (STM'!$F$45</definedName>
    <definedName name="SUBMOD_2_2_GPS_FGTS_12X36_DIU" localSheetId="20">'POSTO 12x36 HORAS - DIURNO ATM'!$F$45</definedName>
    <definedName name="SUBMOD_2_2_GPS_FGTS_12X36_DIU" localSheetId="18">'POSTO 12x36 HORAS - DIURNO ITA'!$F$45</definedName>
    <definedName name="SUBMOD_2_2_GPS_FGTS_12X36_DIU" localSheetId="16">'POSTO 12x36 HORAS - DIURNO MAB'!$F$45</definedName>
    <definedName name="SUBMOD_2_2_GPS_FGTS_12X36_DIU" localSheetId="14">'POSTO 12x36 HORAS - DIURNO PGN'!$F$45</definedName>
    <definedName name="SUBMOD_2_2_GPS_FGTS_12X36_DIU" localSheetId="12">'POSTO 12x36 HORAS - DIURNO RDO'!$F$45</definedName>
    <definedName name="SUBMOD_2_2_GPS_FGTS_12X36_DIU" localSheetId="10">'POSTO 12x36 HORAS - DIURNO TUU'!$F$45</definedName>
    <definedName name="SUBMOD_2_2_GPS_FGTS_12X36_DIU">'POSTO 12x36 HORAS - DIURNO BEL'!$F$45</definedName>
    <definedName name="SUBMOD_2_2_GPS_FGTS_12X36_NOT" localSheetId="24">'POSTO 12x36 HORAS - NOTU - CAST'!$F$45</definedName>
    <definedName name="SUBMOD_2_2_GPS_FGTS_12X36_NOT" localSheetId="21">'POSTO 12x36 HORAS - NOTURNO ATM'!$F$45</definedName>
    <definedName name="SUBMOD_2_2_GPS_FGTS_12X36_NOT" localSheetId="19">'POSTO 12x36 HORAS - NOTURNO ITA'!$F$45</definedName>
    <definedName name="SUBMOD_2_2_GPS_FGTS_12X36_NOT" localSheetId="17">'POSTO 12x36 HORAS - NOTURNO MAB'!$F$45</definedName>
    <definedName name="SUBMOD_2_2_GPS_FGTS_12X36_NOT" localSheetId="15">'POSTO 12x36 HORAS - NOTURNO PGN'!$F$45</definedName>
    <definedName name="SUBMOD_2_2_GPS_FGTS_12X36_NOT" localSheetId="13">'POSTO 12x36 HORAS - NOTURNO RDO'!$F$45</definedName>
    <definedName name="SUBMOD_2_2_GPS_FGTS_12X36_NOT" localSheetId="8">'POSTO 12x36 HORAS - NOTURNO STM'!$F$45</definedName>
    <definedName name="SUBMOD_2_2_GPS_FGTS_12X36_NOT" localSheetId="11">'POSTO 12x36 HORAS - NOTURNO TUU'!$F$45</definedName>
    <definedName name="SUBMOD_2_2_GPS_FGTS_12X36_NOT">'POSTO 12x36 HORAS - NOTURNO BEL'!$F$45</definedName>
    <definedName name="SUBMOD_2_2_GPS_FGTS_44H" localSheetId="9">'POSTO 44 HORAS (STM)'!$F$46</definedName>
    <definedName name="SUBMOD_2_2_GPS_FGTS_44H" localSheetId="22">'POSTO 44 HORAS ATM'!$F$46</definedName>
    <definedName name="SUBMOD_2_2_GPS_FGTS_44H">'POSTO 44 HORAS BEL'!$F$46</definedName>
    <definedName name="SUBMOD_2_3_BENEFICIOS_12X36_DIU" localSheetId="23">'POSTO 12x36 HORAS - DIURNO (CAS'!$F$53</definedName>
    <definedName name="SUBMOD_2_3_BENEFICIOS_12X36_DIU" localSheetId="7">'POSTO 12x36 HORAS - DIURNO (STM'!$F$53</definedName>
    <definedName name="SUBMOD_2_3_BENEFICIOS_12X36_DIU" localSheetId="20">'POSTO 12x36 HORAS - DIURNO ATM'!$F$53</definedName>
    <definedName name="SUBMOD_2_3_BENEFICIOS_12X36_DIU" localSheetId="18">'POSTO 12x36 HORAS - DIURNO ITA'!$F$53</definedName>
    <definedName name="SUBMOD_2_3_BENEFICIOS_12X36_DIU" localSheetId="16">'POSTO 12x36 HORAS - DIURNO MAB'!$F$53</definedName>
    <definedName name="SUBMOD_2_3_BENEFICIOS_12X36_DIU" localSheetId="14">'POSTO 12x36 HORAS - DIURNO PGN'!$F$53</definedName>
    <definedName name="SUBMOD_2_3_BENEFICIOS_12X36_DIU" localSheetId="12">'POSTO 12x36 HORAS - DIURNO RDO'!$F$53</definedName>
    <definedName name="SUBMOD_2_3_BENEFICIOS_12X36_DIU" localSheetId="10">'POSTO 12x36 HORAS - DIURNO TUU'!$F$53</definedName>
    <definedName name="SUBMOD_2_3_BENEFICIOS_12X36_DIU">'POSTO 12x36 HORAS - DIURNO BEL'!$F$53</definedName>
    <definedName name="SUBMOD_2_3_BENEFICIOS_12X36_NOT" localSheetId="24">'POSTO 12x36 HORAS - NOTU - CAST'!$F$53</definedName>
    <definedName name="SUBMOD_2_3_BENEFICIOS_12X36_NOT" localSheetId="21">'POSTO 12x36 HORAS - NOTURNO ATM'!$F$53</definedName>
    <definedName name="SUBMOD_2_3_BENEFICIOS_12X36_NOT" localSheetId="19">'POSTO 12x36 HORAS - NOTURNO ITA'!$F$53</definedName>
    <definedName name="SUBMOD_2_3_BENEFICIOS_12X36_NOT" localSheetId="17">'POSTO 12x36 HORAS - NOTURNO MAB'!$F$53</definedName>
    <definedName name="SUBMOD_2_3_BENEFICIOS_12X36_NOT" localSheetId="15">'POSTO 12x36 HORAS - NOTURNO PGN'!$F$53</definedName>
    <definedName name="SUBMOD_2_3_BENEFICIOS_12X36_NOT" localSheetId="13">'POSTO 12x36 HORAS - NOTURNO RDO'!$F$53</definedName>
    <definedName name="SUBMOD_2_3_BENEFICIOS_12X36_NOT" localSheetId="8">'POSTO 12x36 HORAS - NOTURNO STM'!$F$53</definedName>
    <definedName name="SUBMOD_2_3_BENEFICIOS_12X36_NOT" localSheetId="11">'POSTO 12x36 HORAS - NOTURNO TUU'!$F$53</definedName>
    <definedName name="SUBMOD_2_3_BENEFICIOS_12X36_NOT">'POSTO 12x36 HORAS - NOTURNO BEL'!$F$53</definedName>
    <definedName name="SUBMOD_2_3_BENEFICIOS_44H" localSheetId="9">'POSTO 44 HORAS (STM)'!$F$54</definedName>
    <definedName name="SUBMOD_2_3_BENEFICIOS_44H" localSheetId="22">'POSTO 44 HORAS ATM'!$F$54</definedName>
    <definedName name="SUBMOD_2_3_BENEFICIOS_44H">'POSTO 44 HORAS BEL'!$F$54</definedName>
    <definedName name="SUBMOD_4_1_AUSENCIAS_LEGAIS_44H" localSheetId="9">'POSTO 44 HORAS (STM)'!$F$72</definedName>
    <definedName name="SUBMOD_4_1_AUSENCIAS_LEGAIS_44H" localSheetId="22">'POSTO 44 HORAS ATM'!$F$72</definedName>
    <definedName name="SUBMOD_4_1_AUSENCIAS_LEGAIS_44H">'POSTO 44 HORAS BEL'!$F$72</definedName>
    <definedName name="SUBMOD_4_1_SUBSTITUTO_12X36_DIU" localSheetId="23">'POSTO 12x36 HORAS - DIURNO (CAS'!$F$70</definedName>
    <definedName name="SUBMOD_4_1_SUBSTITUTO_12X36_DIU" localSheetId="7">'POSTO 12x36 HORAS - DIURNO (STM'!$F$70</definedName>
    <definedName name="SUBMOD_4_1_SUBSTITUTO_12X36_DIU" localSheetId="20">'POSTO 12x36 HORAS - DIURNO ATM'!$F$70</definedName>
    <definedName name="SUBMOD_4_1_SUBSTITUTO_12X36_DIU" localSheetId="18">'POSTO 12x36 HORAS - DIURNO ITA'!$F$70</definedName>
    <definedName name="SUBMOD_4_1_SUBSTITUTO_12X36_DIU" localSheetId="16">'POSTO 12x36 HORAS - DIURNO MAB'!$F$70</definedName>
    <definedName name="SUBMOD_4_1_SUBSTITUTO_12X36_DIU" localSheetId="14">'POSTO 12x36 HORAS - DIURNO PGN'!$F$70</definedName>
    <definedName name="SUBMOD_4_1_SUBSTITUTO_12X36_DIU" localSheetId="12">'POSTO 12x36 HORAS - DIURNO RDO'!$F$70</definedName>
    <definedName name="SUBMOD_4_1_SUBSTITUTO_12X36_DIU" localSheetId="10">'POSTO 12x36 HORAS - DIURNO TUU'!$F$70</definedName>
    <definedName name="SUBMOD_4_1_SUBSTITUTO_12X36_DIU">'POSTO 12x36 HORAS - DIURNO BEL'!$F$70</definedName>
    <definedName name="SUBMOD_4_1_SUBSTITUTO_12X36_NOT" localSheetId="24">'POSTO 12x36 HORAS - NOTU - CAST'!$F$70</definedName>
    <definedName name="SUBMOD_4_1_SUBSTITUTO_12X36_NOT" localSheetId="21">'POSTO 12x36 HORAS - NOTURNO ATM'!$F$70</definedName>
    <definedName name="SUBMOD_4_1_SUBSTITUTO_12X36_NOT" localSheetId="19">'POSTO 12x36 HORAS - NOTURNO ITA'!$F$70</definedName>
    <definedName name="SUBMOD_4_1_SUBSTITUTO_12X36_NOT" localSheetId="17">'POSTO 12x36 HORAS - NOTURNO MAB'!$F$70</definedName>
    <definedName name="SUBMOD_4_1_SUBSTITUTO_12X36_NOT" localSheetId="15">'POSTO 12x36 HORAS - NOTURNO PGN'!$F$70</definedName>
    <definedName name="SUBMOD_4_1_SUBSTITUTO_12X36_NOT" localSheetId="13">'POSTO 12x36 HORAS - NOTURNO RDO'!$F$70</definedName>
    <definedName name="SUBMOD_4_1_SUBSTITUTO_12X36_NOT" localSheetId="8">'POSTO 12x36 HORAS - NOTURNO STM'!$F$70</definedName>
    <definedName name="SUBMOD_4_1_SUBSTITUTO_12X36_NOT" localSheetId="11">'POSTO 12x36 HORAS - NOTURNO TUU'!$F$70</definedName>
    <definedName name="SUBMOD_4_1_SUBSTITUTO_12X36_NOT">'POSTO 12x36 HORAS - NOTURNO BEL'!$F$70</definedName>
    <definedName name="SUBMOD_4_1_SUBSTITUTO_44H" localSheetId="9">'POSTO 44 HORAS (STM)'!$F$72</definedName>
    <definedName name="SUBMOD_4_1_SUBSTITUTO_44H" localSheetId="22">'POSTO 44 HORAS ATM'!$F$72</definedName>
    <definedName name="SUBMOD_4_1_SUBSTITUTO_44H">'POSTO 44 HORAS BEL'!$F$72</definedName>
    <definedName name="SUBMOD_4_2_INTRAJORNADA_12X36_DIU" localSheetId="23">'POSTO 12x36 HORAS - DIURNO (CAS'!$F$74</definedName>
    <definedName name="SUBMOD_4_2_INTRAJORNADA_12X36_DIU" localSheetId="7">'POSTO 12x36 HORAS - DIURNO (STM'!$F$74</definedName>
    <definedName name="SUBMOD_4_2_INTRAJORNADA_12X36_DIU" localSheetId="20">'POSTO 12x36 HORAS - DIURNO ATM'!$F$74</definedName>
    <definedName name="SUBMOD_4_2_INTRAJORNADA_12X36_DIU" localSheetId="18">'POSTO 12x36 HORAS - DIURNO ITA'!$F$74</definedName>
    <definedName name="SUBMOD_4_2_INTRAJORNADA_12X36_DIU" localSheetId="16">'POSTO 12x36 HORAS - DIURNO MAB'!$F$74</definedName>
    <definedName name="SUBMOD_4_2_INTRAJORNADA_12X36_DIU" localSheetId="14">'POSTO 12x36 HORAS - DIURNO PGN'!$F$74</definedName>
    <definedName name="SUBMOD_4_2_INTRAJORNADA_12X36_DIU" localSheetId="12">'POSTO 12x36 HORAS - DIURNO RDO'!$F$74</definedName>
    <definedName name="SUBMOD_4_2_INTRAJORNADA_12X36_DIU" localSheetId="10">'POSTO 12x36 HORAS - DIURNO TUU'!$F$74</definedName>
    <definedName name="SUBMOD_4_2_INTRAJORNADA_12X36_DIU">'POSTO 12x36 HORAS - DIURNO BEL'!$F$74</definedName>
    <definedName name="SUBMOD_4_2_INTRAJORNADA_12X36_NOT" localSheetId="24">'POSTO 12x36 HORAS - NOTU - CAST'!$F$74</definedName>
    <definedName name="SUBMOD_4_2_INTRAJORNADA_12X36_NOT" localSheetId="21">'POSTO 12x36 HORAS - NOTURNO ATM'!$F$74</definedName>
    <definedName name="SUBMOD_4_2_INTRAJORNADA_12X36_NOT" localSheetId="19">'POSTO 12x36 HORAS - NOTURNO ITA'!$F$74</definedName>
    <definedName name="SUBMOD_4_2_INTRAJORNADA_12X36_NOT" localSheetId="17">'POSTO 12x36 HORAS - NOTURNO MAB'!$F$74</definedName>
    <definedName name="SUBMOD_4_2_INTRAJORNADA_12X36_NOT" localSheetId="15">'POSTO 12x36 HORAS - NOTURNO PGN'!$F$74</definedName>
    <definedName name="SUBMOD_4_2_INTRAJORNADA_12X36_NOT" localSheetId="13">'POSTO 12x36 HORAS - NOTURNO RDO'!$F$74</definedName>
    <definedName name="SUBMOD_4_2_INTRAJORNADA_12X36_NOT" localSheetId="8">'POSTO 12x36 HORAS - NOTURNO STM'!$F$74</definedName>
    <definedName name="SUBMOD_4_2_INTRAJORNADA_12X36_NOT" localSheetId="11">'POSTO 12x36 HORAS - NOTURNO TUU'!$F$74</definedName>
    <definedName name="SUBMOD_4_2_INTRAJORNADA_12X36_NOT">'POSTO 12x36 HORAS - NOTURNO BEL'!$F$74</definedName>
    <definedName name="SUBMOD_4_2_INTRAJORNADA_44H" localSheetId="9">'POSTO 44 HORAS (STM)'!$F$77</definedName>
    <definedName name="SUBMOD_4_2_INTRAJORNADA_44H" localSheetId="22">'POSTO 44 HORAS ATM'!$F$77</definedName>
    <definedName name="SUBMOD_4_2_INTRAJORNADA_44H">'POSTO 44 HORAS BEL'!$F$77</definedName>
    <definedName name="TEMPO_INTERVALO_REFEICAO">'INSERÇÃO-DE-DADOS'!$F$69</definedName>
    <definedName name="TIPO_DE_SERVICO">'INSERÇÃO-DE-DADOS'!$E$42</definedName>
    <definedName name="TRANSPORTE_POR_DIA">'INSERÇÃO-DE-DADOS'!$F$57</definedName>
    <definedName name="UG">'INSERÇÃO-DE-DADOS'!$B$2</definedName>
    <definedName name="UNIFORMES">'INSERÇÃO-DE-DADOS'!$F$73</definedName>
    <definedName name="VALOR_TOTAL_EMPREGADO_12x36_DIU" localSheetId="23">'POSTO 12x36 HORAS - DIURNO (CAS'!$F$104</definedName>
    <definedName name="VALOR_TOTAL_EMPREGADO_12x36_DIU" localSheetId="7">'POSTO 12x36 HORAS - DIURNO (STM'!$F$104</definedName>
    <definedName name="VALOR_TOTAL_EMPREGADO_12x36_DIU" localSheetId="20">'POSTO 12x36 HORAS - DIURNO ATM'!$F$104</definedName>
    <definedName name="VALOR_TOTAL_EMPREGADO_12x36_DIU" localSheetId="18">'POSTO 12x36 HORAS - DIURNO ITA'!$F$104</definedName>
    <definedName name="VALOR_TOTAL_EMPREGADO_12x36_DIU" localSheetId="16">'POSTO 12x36 HORAS - DIURNO MAB'!$F$104</definedName>
    <definedName name="VALOR_TOTAL_EMPREGADO_12x36_DIU" localSheetId="14">'POSTO 12x36 HORAS - DIURNO PGN'!$F$104</definedName>
    <definedName name="VALOR_TOTAL_EMPREGADO_12x36_DIU" localSheetId="12">'POSTO 12x36 HORAS - DIURNO RDO'!$F$104</definedName>
    <definedName name="VALOR_TOTAL_EMPREGADO_12x36_DIU" localSheetId="10">'POSTO 12x36 HORAS - DIURNO TUU'!$F$104</definedName>
    <definedName name="VALOR_TOTAL_EMPREGADO_12x36_DIU">'POSTO 12x36 HORAS - DIURNO BEL'!$F$104</definedName>
    <definedName name="VALOR_TOTAL_EMPREGADO_12x36_NOT" localSheetId="24">'POSTO 12x36 HORAS - NOTU - CAST'!$F$104</definedName>
    <definedName name="VALOR_TOTAL_EMPREGADO_12x36_NOT" localSheetId="21">'POSTO 12x36 HORAS - NOTURNO ATM'!$F$104</definedName>
    <definedName name="VALOR_TOTAL_EMPREGADO_12x36_NOT" localSheetId="19">'POSTO 12x36 HORAS - NOTURNO ITA'!$F$104</definedName>
    <definedName name="VALOR_TOTAL_EMPREGADO_12x36_NOT" localSheetId="17">'POSTO 12x36 HORAS - NOTURNO MAB'!$F$104</definedName>
    <definedName name="VALOR_TOTAL_EMPREGADO_12x36_NOT" localSheetId="15">'POSTO 12x36 HORAS - NOTURNO PGN'!$F$104</definedName>
    <definedName name="VALOR_TOTAL_EMPREGADO_12x36_NOT" localSheetId="13">'POSTO 12x36 HORAS - NOTURNO RDO'!$F$104</definedName>
    <definedName name="VALOR_TOTAL_EMPREGADO_12x36_NOT" localSheetId="8">'POSTO 12x36 HORAS - NOTURNO STM'!$F$104</definedName>
    <definedName name="VALOR_TOTAL_EMPREGADO_12x36_NOT" localSheetId="11">'POSTO 12x36 HORAS - NOTURNO TUU'!$F$104</definedName>
    <definedName name="VALOR_TOTAL_EMPREGADO_12x36_NOT">'POSTO 12x36 HORAS - NOTURNO BEL'!$F$104</definedName>
    <definedName name="VALOR_TOTAL_EMPREGADO_44H" localSheetId="9">'POSTO 44 HORAS (STM)'!$F$107</definedName>
    <definedName name="VALOR_TOTAL_EMPREGADO_44H" localSheetId="22">'POSTO 44 HORAS ATM'!$F$107</definedName>
    <definedName name="VALOR_TOTAL_EMPREGADO_44H">'POSTO 44 HORAS BEL'!$F$107</definedName>
    <definedName name="VALOR_TOTAL_POSTO_12x36_DIU" localSheetId="23">'POSTO 12x36 HORAS - DIURNO (CAS'!$F$105</definedName>
    <definedName name="VALOR_TOTAL_POSTO_12x36_DIU" localSheetId="7">'POSTO 12x36 HORAS - DIURNO (STM'!$F$105</definedName>
    <definedName name="VALOR_TOTAL_POSTO_12x36_DIU" localSheetId="20">'POSTO 12x36 HORAS - DIURNO ATM'!$F$105</definedName>
    <definedName name="VALOR_TOTAL_POSTO_12x36_DIU" localSheetId="18">'POSTO 12x36 HORAS - DIURNO ITA'!$F$105</definedName>
    <definedName name="VALOR_TOTAL_POSTO_12x36_DIU" localSheetId="16">'POSTO 12x36 HORAS - DIURNO MAB'!$F$105</definedName>
    <definedName name="VALOR_TOTAL_POSTO_12x36_DIU" localSheetId="14">'POSTO 12x36 HORAS - DIURNO PGN'!$F$105</definedName>
    <definedName name="VALOR_TOTAL_POSTO_12x36_DIU" localSheetId="12">'POSTO 12x36 HORAS - DIURNO RDO'!$F$105</definedName>
    <definedName name="VALOR_TOTAL_POSTO_12x36_DIU" localSheetId="10">'POSTO 12x36 HORAS - DIURNO TUU'!$F$105</definedName>
    <definedName name="VALOR_TOTAL_POSTO_12x36_DIU">'POSTO 12x36 HORAS - DIURNO BEL'!$F$105</definedName>
    <definedName name="VALOR_TOTAL_POSTO_12x36_NOT" localSheetId="24">'POSTO 12x36 HORAS - NOTU - CAST'!$F$105</definedName>
    <definedName name="VALOR_TOTAL_POSTO_12x36_NOT" localSheetId="21">'POSTO 12x36 HORAS - NOTURNO ATM'!$F$105</definedName>
    <definedName name="VALOR_TOTAL_POSTO_12x36_NOT" localSheetId="19">'POSTO 12x36 HORAS - NOTURNO ITA'!$F$105</definedName>
    <definedName name="VALOR_TOTAL_POSTO_12x36_NOT" localSheetId="17">'POSTO 12x36 HORAS - NOTURNO MAB'!$F$105</definedName>
    <definedName name="VALOR_TOTAL_POSTO_12x36_NOT" localSheetId="15">'POSTO 12x36 HORAS - NOTURNO PGN'!$F$105</definedName>
    <definedName name="VALOR_TOTAL_POSTO_12x36_NOT" localSheetId="13">'POSTO 12x36 HORAS - NOTURNO RDO'!$F$105</definedName>
    <definedName name="VALOR_TOTAL_POSTO_12x36_NOT" localSheetId="8">'POSTO 12x36 HORAS - NOTURNO STM'!$F$105</definedName>
    <definedName name="VALOR_TOTAL_POSTO_12x36_NOT" localSheetId="11">'POSTO 12x36 HORAS - NOTURNO TUU'!$F$105</definedName>
    <definedName name="VALOR_TOTAL_POSTO_12x36_NOT">'POSTO 12x36 HORAS - NOTURNO BEL'!$F$105</definedName>
    <definedName name="VALOR_TOTAL_POSTO_44H" localSheetId="9">'POSTO 44 HORAS (STM)'!$F$108</definedName>
    <definedName name="VALOR_TOTAL_POSTO_44H" localSheetId="22">'POSTO 44 HORAS ATM'!$F$108</definedName>
    <definedName name="VALOR_TOTAL_POSTO_44H">'POSTO 44 HORAS BEL'!$F$108</definedName>
  </definedNames>
  <calcPr calcId="144525" fullPrecision="0"/>
  <customWorkbookViews>
    <customWorkbookView name="teste" guid="{E22B0E03-E710-4313-B9E5-0BFE52A7E677}" maximized="1" xWindow="-8" yWindow="-8" windowWidth="1936" windowHeight="1056" tabRatio="899" activeSheetId="2"/>
  </customWorkbookViews>
</workbook>
</file>

<file path=xl/calcChain.xml><?xml version="1.0" encoding="utf-8"?>
<calcChain xmlns="http://schemas.openxmlformats.org/spreadsheetml/2006/main">
  <c r="F25" i="36" l="1"/>
  <c r="F25" i="32"/>
  <c r="F25" i="30"/>
  <c r="F25" i="28"/>
  <c r="F25" i="26"/>
  <c r="F25" i="24"/>
  <c r="F25" i="39"/>
  <c r="F25" i="17"/>
  <c r="F25" i="7" l="1"/>
  <c r="F24" i="36"/>
  <c r="F24" i="32"/>
  <c r="F24" i="30"/>
  <c r="F24" i="28"/>
  <c r="F24" i="26"/>
  <c r="F24" i="24"/>
  <c r="F24" i="39"/>
  <c r="F24" i="17"/>
  <c r="F24" i="7"/>
  <c r="C26" i="10" l="1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F39" i="11" l="1"/>
  <c r="F75" i="11"/>
  <c r="F74" i="11"/>
  <c r="F73" i="11"/>
  <c r="F83" i="9"/>
  <c r="F82" i="9"/>
  <c r="F81" i="9"/>
  <c r="F80" i="7"/>
  <c r="F79" i="7"/>
  <c r="F78" i="7"/>
  <c r="F80" i="2"/>
  <c r="F79" i="2"/>
  <c r="F78" i="2"/>
  <c r="E13" i="10" l="1"/>
  <c r="E12" i="10"/>
  <c r="D13" i="10"/>
  <c r="D12" i="10"/>
  <c r="C94" i="39"/>
  <c r="C103" i="39" s="1"/>
  <c r="E91" i="39"/>
  <c r="E90" i="39"/>
  <c r="E89" i="39"/>
  <c r="E87" i="39"/>
  <c r="E86" i="39"/>
  <c r="F81" i="39"/>
  <c r="C81" i="39"/>
  <c r="E69" i="39"/>
  <c r="C69" i="39"/>
  <c r="C52" i="39"/>
  <c r="C51" i="39"/>
  <c r="C50" i="39"/>
  <c r="F49" i="39"/>
  <c r="E44" i="39"/>
  <c r="E43" i="39"/>
  <c r="E42" i="39"/>
  <c r="E41" i="39"/>
  <c r="E40" i="39"/>
  <c r="E38" i="39"/>
  <c r="E37" i="39"/>
  <c r="C27" i="39"/>
  <c r="C26" i="39"/>
  <c r="F23" i="39"/>
  <c r="F22" i="39"/>
  <c r="F48" i="39" s="1"/>
  <c r="F17" i="39"/>
  <c r="D16" i="39"/>
  <c r="D15" i="39"/>
  <c r="E14" i="39"/>
  <c r="F11" i="39"/>
  <c r="F10" i="39"/>
  <c r="F8" i="39"/>
  <c r="F6" i="39"/>
  <c r="D6" i="39"/>
  <c r="D5" i="39"/>
  <c r="F2" i="39"/>
  <c r="B2" i="39"/>
  <c r="B1" i="39"/>
  <c r="C94" i="38"/>
  <c r="C103" i="38" s="1"/>
  <c r="E91" i="38"/>
  <c r="E90" i="38"/>
  <c r="E89" i="38"/>
  <c r="E87" i="38"/>
  <c r="E86" i="38"/>
  <c r="F81" i="38"/>
  <c r="C81" i="38"/>
  <c r="E69" i="38"/>
  <c r="C69" i="38"/>
  <c r="C52" i="38"/>
  <c r="C51" i="38"/>
  <c r="C50" i="38"/>
  <c r="F49" i="38"/>
  <c r="E44" i="38"/>
  <c r="E43" i="38"/>
  <c r="E42" i="38"/>
  <c r="E41" i="38"/>
  <c r="E40" i="38"/>
  <c r="E38" i="38"/>
  <c r="E37" i="38"/>
  <c r="F27" i="38"/>
  <c r="C27" i="38"/>
  <c r="C26" i="38"/>
  <c r="F25" i="38"/>
  <c r="F24" i="38"/>
  <c r="F48" i="38" s="1"/>
  <c r="F18" i="38"/>
  <c r="D17" i="38"/>
  <c r="D16" i="38"/>
  <c r="E15" i="38"/>
  <c r="F11" i="38"/>
  <c r="F10" i="38"/>
  <c r="F8" i="38"/>
  <c r="F6" i="38"/>
  <c r="D6" i="38"/>
  <c r="D5" i="38"/>
  <c r="F2" i="38"/>
  <c r="B2" i="38"/>
  <c r="B1" i="38"/>
  <c r="E26" i="10"/>
  <c r="E25" i="10"/>
  <c r="D26" i="10"/>
  <c r="D25" i="10"/>
  <c r="C94" i="36"/>
  <c r="C103" i="36" s="1"/>
  <c r="E91" i="36"/>
  <c r="E90" i="36"/>
  <c r="E89" i="36"/>
  <c r="E87" i="36"/>
  <c r="E86" i="36"/>
  <c r="F81" i="36"/>
  <c r="C81" i="36"/>
  <c r="E69" i="36"/>
  <c r="C69" i="36"/>
  <c r="C52" i="36"/>
  <c r="C51" i="36"/>
  <c r="C50" i="36"/>
  <c r="F49" i="36"/>
  <c r="E44" i="36"/>
  <c r="E43" i="36"/>
  <c r="E42" i="36"/>
  <c r="E41" i="36"/>
  <c r="E40" i="36"/>
  <c r="E38" i="36"/>
  <c r="E37" i="36"/>
  <c r="C27" i="36"/>
  <c r="C26" i="36"/>
  <c r="F23" i="36"/>
  <c r="F22" i="36"/>
  <c r="F17" i="36"/>
  <c r="D16" i="36"/>
  <c r="D15" i="36"/>
  <c r="E14" i="36"/>
  <c r="F11" i="36"/>
  <c r="F10" i="36"/>
  <c r="F8" i="36"/>
  <c r="F6" i="36"/>
  <c r="D6" i="36"/>
  <c r="D5" i="36"/>
  <c r="F2" i="36"/>
  <c r="B2" i="36"/>
  <c r="B1" i="36"/>
  <c r="C94" i="35"/>
  <c r="C103" i="35" s="1"/>
  <c r="E91" i="35"/>
  <c r="E90" i="35"/>
  <c r="E89" i="35"/>
  <c r="E87" i="35"/>
  <c r="E86" i="35"/>
  <c r="F81" i="35"/>
  <c r="C81" i="35"/>
  <c r="E69" i="35"/>
  <c r="C69" i="35"/>
  <c r="C52" i="35"/>
  <c r="C51" i="35"/>
  <c r="C50" i="35"/>
  <c r="F49" i="35"/>
  <c r="E44" i="35"/>
  <c r="E43" i="35"/>
  <c r="E42" i="35"/>
  <c r="E41" i="35"/>
  <c r="E40" i="35"/>
  <c r="E38" i="35"/>
  <c r="E37" i="35"/>
  <c r="F27" i="35"/>
  <c r="C27" i="35"/>
  <c r="C26" i="35"/>
  <c r="F25" i="35"/>
  <c r="F24" i="35"/>
  <c r="F48" i="35" s="1"/>
  <c r="F18" i="35"/>
  <c r="D17" i="35"/>
  <c r="D16" i="35"/>
  <c r="E15" i="35"/>
  <c r="F11" i="35"/>
  <c r="F10" i="35"/>
  <c r="F8" i="35"/>
  <c r="F6" i="35"/>
  <c r="D6" i="35"/>
  <c r="D5" i="35"/>
  <c r="F2" i="35"/>
  <c r="B2" i="35"/>
  <c r="B1" i="35"/>
  <c r="E8" i="10"/>
  <c r="E7" i="10"/>
  <c r="E6" i="10"/>
  <c r="F26" i="39" l="1"/>
  <c r="F27" i="39"/>
  <c r="F26" i="36"/>
  <c r="F48" i="36"/>
  <c r="F53" i="36" s="1"/>
  <c r="E88" i="39"/>
  <c r="F53" i="38"/>
  <c r="E88" i="38"/>
  <c r="F53" i="39"/>
  <c r="F28" i="38"/>
  <c r="F53" i="35"/>
  <c r="E88" i="36"/>
  <c r="F28" i="35"/>
  <c r="F27" i="36"/>
  <c r="E88" i="35"/>
  <c r="C97" i="33"/>
  <c r="C106" i="33" s="1"/>
  <c r="C94" i="32"/>
  <c r="C103" i="32" s="1"/>
  <c r="C94" i="31"/>
  <c r="C103" i="31" s="1"/>
  <c r="C94" i="30"/>
  <c r="C103" i="30" s="1"/>
  <c r="C94" i="29"/>
  <c r="C103" i="29" s="1"/>
  <c r="C94" i="28"/>
  <c r="C103" i="28" s="1"/>
  <c r="C94" i="27"/>
  <c r="C103" i="27" s="1"/>
  <c r="C94" i="26"/>
  <c r="C103" i="26" s="1"/>
  <c r="C94" i="25"/>
  <c r="C103" i="25" s="1"/>
  <c r="C94" i="24"/>
  <c r="C103" i="24" s="1"/>
  <c r="C94" i="23"/>
  <c r="C103" i="23" s="1"/>
  <c r="C97" i="18"/>
  <c r="C106" i="18" s="1"/>
  <c r="C94" i="17"/>
  <c r="C103" i="17" s="1"/>
  <c r="C94" i="16"/>
  <c r="C103" i="16" s="1"/>
  <c r="C94" i="7"/>
  <c r="C103" i="7" s="1"/>
  <c r="C94" i="2"/>
  <c r="C103" i="2" s="1"/>
  <c r="C97" i="9"/>
  <c r="C106" i="9" s="1"/>
  <c r="F28" i="39" l="1"/>
  <c r="F97" i="39" s="1"/>
  <c r="F97" i="35"/>
  <c r="F97" i="38"/>
  <c r="F28" i="36"/>
  <c r="C50" i="7"/>
  <c r="C51" i="7"/>
  <c r="C52" i="7"/>
  <c r="F49" i="33"/>
  <c r="F49" i="18"/>
  <c r="E24" i="10"/>
  <c r="D24" i="10"/>
  <c r="E23" i="10"/>
  <c r="D23" i="10"/>
  <c r="E22" i="10"/>
  <c r="D22" i="10"/>
  <c r="E21" i="10"/>
  <c r="D21" i="10"/>
  <c r="E20" i="10"/>
  <c r="D20" i="10"/>
  <c r="E19" i="10"/>
  <c r="D19" i="10"/>
  <c r="E18" i="10"/>
  <c r="D18" i="10"/>
  <c r="E17" i="10"/>
  <c r="D17" i="10"/>
  <c r="E16" i="10"/>
  <c r="D16" i="10"/>
  <c r="E15" i="10"/>
  <c r="D15" i="10"/>
  <c r="E14" i="10"/>
  <c r="D14" i="10"/>
  <c r="E11" i="10"/>
  <c r="D11" i="10"/>
  <c r="E10" i="10"/>
  <c r="D10" i="10"/>
  <c r="E9" i="10"/>
  <c r="D9" i="10"/>
  <c r="E94" i="33"/>
  <c r="E93" i="33"/>
  <c r="E92" i="33"/>
  <c r="E90" i="33"/>
  <c r="E89" i="33"/>
  <c r="F84" i="33"/>
  <c r="C84" i="33"/>
  <c r="E71" i="33"/>
  <c r="C71" i="33"/>
  <c r="C53" i="33"/>
  <c r="C52" i="33"/>
  <c r="C51" i="33"/>
  <c r="F50" i="33"/>
  <c r="E34" i="33"/>
  <c r="E33" i="33"/>
  <c r="F27" i="33"/>
  <c r="C27" i="33"/>
  <c r="F26" i="33"/>
  <c r="C26" i="33"/>
  <c r="F25" i="33"/>
  <c r="F24" i="33"/>
  <c r="F18" i="33"/>
  <c r="D17" i="33"/>
  <c r="D16" i="33"/>
  <c r="E15" i="33"/>
  <c r="F11" i="33"/>
  <c r="F10" i="33"/>
  <c r="F8" i="33"/>
  <c r="F6" i="33"/>
  <c r="D6" i="33"/>
  <c r="D5" i="33"/>
  <c r="F2" i="33"/>
  <c r="B2" i="33"/>
  <c r="B1" i="33"/>
  <c r="E91" i="32"/>
  <c r="E90" i="32"/>
  <c r="E89" i="32"/>
  <c r="E87" i="32"/>
  <c r="E86" i="32"/>
  <c r="F81" i="32"/>
  <c r="C81" i="32"/>
  <c r="E69" i="32"/>
  <c r="C69" i="32"/>
  <c r="C52" i="32"/>
  <c r="C51" i="32"/>
  <c r="C50" i="32"/>
  <c r="F49" i="32"/>
  <c r="E44" i="32"/>
  <c r="E43" i="32"/>
  <c r="E42" i="32"/>
  <c r="E41" i="32"/>
  <c r="E40" i="32"/>
  <c r="E38" i="32"/>
  <c r="E37" i="32"/>
  <c r="C27" i="32"/>
  <c r="C26" i="32"/>
  <c r="F23" i="32"/>
  <c r="F22" i="32"/>
  <c r="F48" i="32" s="1"/>
  <c r="F17" i="32"/>
  <c r="D16" i="32"/>
  <c r="D15" i="32"/>
  <c r="E14" i="32"/>
  <c r="F11" i="32"/>
  <c r="F10" i="32"/>
  <c r="F8" i="32"/>
  <c r="F6" i="32"/>
  <c r="D6" i="32"/>
  <c r="D5" i="32"/>
  <c r="F2" i="32"/>
  <c r="B2" i="32"/>
  <c r="B1" i="32"/>
  <c r="E91" i="31"/>
  <c r="E90" i="31"/>
  <c r="E89" i="31"/>
  <c r="E87" i="31"/>
  <c r="E86" i="31"/>
  <c r="F81" i="31"/>
  <c r="C81" i="31"/>
  <c r="E69" i="31"/>
  <c r="C69" i="31"/>
  <c r="C52" i="31"/>
  <c r="C51" i="31"/>
  <c r="C50" i="31"/>
  <c r="F49" i="31"/>
  <c r="E44" i="31"/>
  <c r="E43" i="31"/>
  <c r="E42" i="31"/>
  <c r="E41" i="31"/>
  <c r="E40" i="31"/>
  <c r="E38" i="31"/>
  <c r="E37" i="31"/>
  <c r="F27" i="31"/>
  <c r="C27" i="31"/>
  <c r="C26" i="31"/>
  <c r="F25" i="31"/>
  <c r="F24" i="31"/>
  <c r="F48" i="31" s="1"/>
  <c r="F18" i="31"/>
  <c r="D17" i="31"/>
  <c r="D16" i="31"/>
  <c r="E15" i="31"/>
  <c r="F11" i="31"/>
  <c r="F10" i="31"/>
  <c r="F8" i="31"/>
  <c r="F6" i="31"/>
  <c r="D6" i="31"/>
  <c r="D5" i="31"/>
  <c r="F2" i="31"/>
  <c r="B2" i="31"/>
  <c r="B1" i="31"/>
  <c r="E91" i="30"/>
  <c r="E90" i="30"/>
  <c r="E89" i="30"/>
  <c r="E87" i="30"/>
  <c r="E86" i="30"/>
  <c r="F81" i="30"/>
  <c r="C81" i="30"/>
  <c r="E69" i="30"/>
  <c r="C69" i="30"/>
  <c r="C52" i="30"/>
  <c r="C51" i="30"/>
  <c r="C50" i="30"/>
  <c r="F49" i="30"/>
  <c r="E44" i="30"/>
  <c r="E43" i="30"/>
  <c r="E42" i="30"/>
  <c r="E41" i="30"/>
  <c r="E40" i="30"/>
  <c r="E38" i="30"/>
  <c r="E37" i="30"/>
  <c r="C27" i="30"/>
  <c r="C26" i="30"/>
  <c r="F23" i="30"/>
  <c r="F22" i="30"/>
  <c r="F48" i="30" s="1"/>
  <c r="F17" i="30"/>
  <c r="D16" i="30"/>
  <c r="D15" i="30"/>
  <c r="E14" i="30"/>
  <c r="F11" i="30"/>
  <c r="F10" i="30"/>
  <c r="F8" i="30"/>
  <c r="F6" i="30"/>
  <c r="D6" i="30"/>
  <c r="D5" i="30"/>
  <c r="F2" i="30"/>
  <c r="B2" i="30"/>
  <c r="B1" i="30"/>
  <c r="E91" i="29"/>
  <c r="E90" i="29"/>
  <c r="E89" i="29"/>
  <c r="E87" i="29"/>
  <c r="E86" i="29"/>
  <c r="F81" i="29"/>
  <c r="C81" i="29"/>
  <c r="E69" i="29"/>
  <c r="C69" i="29"/>
  <c r="C52" i="29"/>
  <c r="C51" i="29"/>
  <c r="C50" i="29"/>
  <c r="F49" i="29"/>
  <c r="E44" i="29"/>
  <c r="E43" i="29"/>
  <c r="E42" i="29"/>
  <c r="E41" i="29"/>
  <c r="E40" i="29"/>
  <c r="E38" i="29"/>
  <c r="E37" i="29"/>
  <c r="F27" i="29"/>
  <c r="C27" i="29"/>
  <c r="C26" i="29"/>
  <c r="F25" i="29"/>
  <c r="F24" i="29"/>
  <c r="F48" i="29" s="1"/>
  <c r="F18" i="29"/>
  <c r="D17" i="29"/>
  <c r="D16" i="29"/>
  <c r="E15" i="29"/>
  <c r="F11" i="29"/>
  <c r="F10" i="29"/>
  <c r="F8" i="29"/>
  <c r="F6" i="29"/>
  <c r="D6" i="29"/>
  <c r="D5" i="29"/>
  <c r="F2" i="29"/>
  <c r="B2" i="29"/>
  <c r="B1" i="29"/>
  <c r="E91" i="28"/>
  <c r="E90" i="28"/>
  <c r="E89" i="28"/>
  <c r="E87" i="28"/>
  <c r="E86" i="28"/>
  <c r="F81" i="28"/>
  <c r="C81" i="28"/>
  <c r="E69" i="28"/>
  <c r="C69" i="28"/>
  <c r="C52" i="28"/>
  <c r="C51" i="28"/>
  <c r="C50" i="28"/>
  <c r="F49" i="28"/>
  <c r="E44" i="28"/>
  <c r="E43" i="28"/>
  <c r="E42" i="28"/>
  <c r="E41" i="28"/>
  <c r="E40" i="28"/>
  <c r="E38" i="28"/>
  <c r="E37" i="28"/>
  <c r="C27" i="28"/>
  <c r="C26" i="28"/>
  <c r="F23" i="28"/>
  <c r="F22" i="28"/>
  <c r="F17" i="28"/>
  <c r="D16" i="28"/>
  <c r="D15" i="28"/>
  <c r="E14" i="28"/>
  <c r="F11" i="28"/>
  <c r="F10" i="28"/>
  <c r="F8" i="28"/>
  <c r="F6" i="28"/>
  <c r="D6" i="28"/>
  <c r="D5" i="28"/>
  <c r="F2" i="28"/>
  <c r="B2" i="28"/>
  <c r="B1" i="28"/>
  <c r="E91" i="27"/>
  <c r="E90" i="27"/>
  <c r="E89" i="27"/>
  <c r="E87" i="27"/>
  <c r="E86" i="27"/>
  <c r="F81" i="27"/>
  <c r="C81" i="27"/>
  <c r="E69" i="27"/>
  <c r="C69" i="27"/>
  <c r="C52" i="27"/>
  <c r="C51" i="27"/>
  <c r="C50" i="27"/>
  <c r="F49" i="27"/>
  <c r="E44" i="27"/>
  <c r="E43" i="27"/>
  <c r="E42" i="27"/>
  <c r="E41" i="27"/>
  <c r="E40" i="27"/>
  <c r="E38" i="27"/>
  <c r="E37" i="27"/>
  <c r="F27" i="27"/>
  <c r="C27" i="27"/>
  <c r="C26" i="27"/>
  <c r="F25" i="27"/>
  <c r="F24" i="27"/>
  <c r="F18" i="27"/>
  <c r="D17" i="27"/>
  <c r="D16" i="27"/>
  <c r="E15" i="27"/>
  <c r="F11" i="27"/>
  <c r="F10" i="27"/>
  <c r="F8" i="27"/>
  <c r="F6" i="27"/>
  <c r="D6" i="27"/>
  <c r="D5" i="27"/>
  <c r="F2" i="27"/>
  <c r="B2" i="27"/>
  <c r="B1" i="27"/>
  <c r="E91" i="26"/>
  <c r="E90" i="26"/>
  <c r="E89" i="26"/>
  <c r="E87" i="26"/>
  <c r="E86" i="26"/>
  <c r="F81" i="26"/>
  <c r="C81" i="26"/>
  <c r="E69" i="26"/>
  <c r="C69" i="26"/>
  <c r="C52" i="26"/>
  <c r="C51" i="26"/>
  <c r="C50" i="26"/>
  <c r="F49" i="26"/>
  <c r="E44" i="26"/>
  <c r="E43" i="26"/>
  <c r="E42" i="26"/>
  <c r="E41" i="26"/>
  <c r="E40" i="26"/>
  <c r="E38" i="26"/>
  <c r="E37" i="26"/>
  <c r="C27" i="26"/>
  <c r="C26" i="26"/>
  <c r="F23" i="26"/>
  <c r="F22" i="26"/>
  <c r="F48" i="26" s="1"/>
  <c r="F17" i="26"/>
  <c r="D16" i="26"/>
  <c r="D15" i="26"/>
  <c r="E14" i="26"/>
  <c r="F11" i="26"/>
  <c r="F10" i="26"/>
  <c r="F8" i="26"/>
  <c r="F6" i="26"/>
  <c r="D6" i="26"/>
  <c r="D5" i="26"/>
  <c r="F2" i="26"/>
  <c r="B2" i="26"/>
  <c r="B1" i="26"/>
  <c r="E91" i="25"/>
  <c r="E90" i="25"/>
  <c r="E89" i="25"/>
  <c r="E87" i="25"/>
  <c r="E86" i="25"/>
  <c r="F81" i="25"/>
  <c r="C81" i="25"/>
  <c r="E69" i="25"/>
  <c r="C69" i="25"/>
  <c r="C52" i="25"/>
  <c r="C51" i="25"/>
  <c r="C50" i="25"/>
  <c r="F49" i="25"/>
  <c r="E44" i="25"/>
  <c r="E43" i="25"/>
  <c r="E42" i="25"/>
  <c r="E41" i="25"/>
  <c r="E40" i="25"/>
  <c r="E38" i="25"/>
  <c r="E37" i="25"/>
  <c r="F27" i="25"/>
  <c r="C27" i="25"/>
  <c r="C26" i="25"/>
  <c r="F25" i="25"/>
  <c r="F24" i="25"/>
  <c r="F48" i="25" s="1"/>
  <c r="F18" i="25"/>
  <c r="D17" i="25"/>
  <c r="D16" i="25"/>
  <c r="E15" i="25"/>
  <c r="F11" i="25"/>
  <c r="F10" i="25"/>
  <c r="F8" i="25"/>
  <c r="F6" i="25"/>
  <c r="D6" i="25"/>
  <c r="D5" i="25"/>
  <c r="F2" i="25"/>
  <c r="B2" i="25"/>
  <c r="B1" i="25"/>
  <c r="E91" i="24"/>
  <c r="E90" i="24"/>
  <c r="E89" i="24"/>
  <c r="E87" i="24"/>
  <c r="E86" i="24"/>
  <c r="F81" i="24"/>
  <c r="C81" i="24"/>
  <c r="E69" i="24"/>
  <c r="C69" i="24"/>
  <c r="C52" i="24"/>
  <c r="C51" i="24"/>
  <c r="C50" i="24"/>
  <c r="F49" i="24"/>
  <c r="E44" i="24"/>
  <c r="E43" i="24"/>
  <c r="E42" i="24"/>
  <c r="E41" i="24"/>
  <c r="E40" i="24"/>
  <c r="E38" i="24"/>
  <c r="E37" i="24"/>
  <c r="C27" i="24"/>
  <c r="C26" i="24"/>
  <c r="F23" i="24"/>
  <c r="F22" i="24"/>
  <c r="F48" i="24" s="1"/>
  <c r="F17" i="24"/>
  <c r="D16" i="24"/>
  <c r="D15" i="24"/>
  <c r="E14" i="24"/>
  <c r="F11" i="24"/>
  <c r="F10" i="24"/>
  <c r="F8" i="24"/>
  <c r="F6" i="24"/>
  <c r="D6" i="24"/>
  <c r="D5" i="24"/>
  <c r="F2" i="24"/>
  <c r="B2" i="24"/>
  <c r="B1" i="24"/>
  <c r="E91" i="23"/>
  <c r="E90" i="23"/>
  <c r="E89" i="23"/>
  <c r="E87" i="23"/>
  <c r="E86" i="23"/>
  <c r="F81" i="23"/>
  <c r="C81" i="23"/>
  <c r="E69" i="23"/>
  <c r="C69" i="23"/>
  <c r="C52" i="23"/>
  <c r="C51" i="23"/>
  <c r="C50" i="23"/>
  <c r="F49" i="23"/>
  <c r="E44" i="23"/>
  <c r="E43" i="23"/>
  <c r="E42" i="23"/>
  <c r="E41" i="23"/>
  <c r="E40" i="23"/>
  <c r="E38" i="23"/>
  <c r="E37" i="23"/>
  <c r="F27" i="23"/>
  <c r="C27" i="23"/>
  <c r="C26" i="23"/>
  <c r="F25" i="23"/>
  <c r="F24" i="23"/>
  <c r="F48" i="23" s="1"/>
  <c r="F18" i="23"/>
  <c r="D17" i="23"/>
  <c r="D16" i="23"/>
  <c r="E15" i="23"/>
  <c r="F11" i="23"/>
  <c r="F10" i="23"/>
  <c r="F8" i="23"/>
  <c r="F6" i="23"/>
  <c r="D6" i="23"/>
  <c r="D5" i="23"/>
  <c r="F2" i="23"/>
  <c r="B2" i="23"/>
  <c r="B1" i="23"/>
  <c r="E94" i="18"/>
  <c r="E93" i="18"/>
  <c r="E92" i="18"/>
  <c r="E90" i="18"/>
  <c r="E89" i="18"/>
  <c r="F84" i="18"/>
  <c r="C84" i="18"/>
  <c r="E71" i="18"/>
  <c r="C71" i="18"/>
  <c r="C53" i="18"/>
  <c r="C52" i="18"/>
  <c r="C51" i="18"/>
  <c r="F50" i="18"/>
  <c r="E34" i="18"/>
  <c r="E33" i="18"/>
  <c r="F27" i="18"/>
  <c r="C27" i="18"/>
  <c r="F26" i="18"/>
  <c r="C26" i="18"/>
  <c r="F25" i="18"/>
  <c r="F24" i="18"/>
  <c r="F18" i="18"/>
  <c r="D17" i="18"/>
  <c r="D16" i="18"/>
  <c r="E15" i="18"/>
  <c r="F11" i="18"/>
  <c r="F10" i="18"/>
  <c r="F8" i="18"/>
  <c r="F6" i="18"/>
  <c r="D6" i="18"/>
  <c r="D5" i="18"/>
  <c r="F2" i="18"/>
  <c r="B2" i="18"/>
  <c r="B1" i="18"/>
  <c r="E91" i="17"/>
  <c r="E90" i="17"/>
  <c r="E89" i="17"/>
  <c r="E87" i="17"/>
  <c r="E86" i="17"/>
  <c r="F81" i="17"/>
  <c r="C81" i="17"/>
  <c r="E69" i="17"/>
  <c r="C69" i="17"/>
  <c r="C52" i="17"/>
  <c r="C51" i="17"/>
  <c r="C50" i="17"/>
  <c r="F49" i="17"/>
  <c r="E44" i="17"/>
  <c r="E43" i="17"/>
  <c r="E42" i="17"/>
  <c r="E41" i="17"/>
  <c r="E40" i="17"/>
  <c r="E38" i="17"/>
  <c r="E37" i="17"/>
  <c r="C27" i="17"/>
  <c r="C26" i="17"/>
  <c r="F23" i="17"/>
  <c r="F22" i="17"/>
  <c r="F17" i="17"/>
  <c r="D16" i="17"/>
  <c r="D15" i="17"/>
  <c r="E14" i="17"/>
  <c r="F11" i="17"/>
  <c r="F10" i="17"/>
  <c r="F8" i="17"/>
  <c r="F6" i="17"/>
  <c r="D6" i="17"/>
  <c r="D5" i="17"/>
  <c r="F2" i="17"/>
  <c r="B2" i="17"/>
  <c r="B1" i="17"/>
  <c r="E91" i="16"/>
  <c r="E90" i="16"/>
  <c r="E89" i="16"/>
  <c r="E87" i="16"/>
  <c r="E86" i="16"/>
  <c r="F81" i="16"/>
  <c r="C81" i="16"/>
  <c r="E69" i="16"/>
  <c r="C69" i="16"/>
  <c r="C52" i="16"/>
  <c r="C51" i="16"/>
  <c r="C50" i="16"/>
  <c r="F49" i="16"/>
  <c r="E44" i="16"/>
  <c r="E43" i="16"/>
  <c r="E42" i="16"/>
  <c r="E41" i="16"/>
  <c r="E40" i="16"/>
  <c r="E38" i="16"/>
  <c r="E37" i="16"/>
  <c r="F27" i="16"/>
  <c r="C27" i="16"/>
  <c r="C26" i="16"/>
  <c r="F25" i="16"/>
  <c r="F24" i="16"/>
  <c r="F18" i="16"/>
  <c r="D17" i="16"/>
  <c r="D16" i="16"/>
  <c r="E15" i="16"/>
  <c r="F11" i="16"/>
  <c r="F10" i="16"/>
  <c r="F8" i="16"/>
  <c r="F6" i="16"/>
  <c r="D6" i="16"/>
  <c r="D5" i="16"/>
  <c r="F2" i="16"/>
  <c r="B2" i="16"/>
  <c r="B1" i="16"/>
  <c r="E39" i="10"/>
  <c r="E27" i="10" l="1"/>
  <c r="F97" i="36"/>
  <c r="F48" i="16"/>
  <c r="F53" i="16" s="1"/>
  <c r="F28" i="16"/>
  <c r="E88" i="31"/>
  <c r="E91" i="33"/>
  <c r="F54" i="33"/>
  <c r="F53" i="30"/>
  <c r="F53" i="32"/>
  <c r="F53" i="26"/>
  <c r="E88" i="32"/>
  <c r="F27" i="32"/>
  <c r="F26" i="32"/>
  <c r="E88" i="30"/>
  <c r="F53" i="31"/>
  <c r="F53" i="23"/>
  <c r="F53" i="24"/>
  <c r="F27" i="30"/>
  <c r="E88" i="29"/>
  <c r="F26" i="30"/>
  <c r="E88" i="28"/>
  <c r="F53" i="29"/>
  <c r="F27" i="28"/>
  <c r="E88" i="27"/>
  <c r="F26" i="28"/>
  <c r="E88" i="26"/>
  <c r="F27" i="26"/>
  <c r="E88" i="25"/>
  <c r="F26" i="26"/>
  <c r="E88" i="24"/>
  <c r="F53" i="25"/>
  <c r="F27" i="24"/>
  <c r="F26" i="24"/>
  <c r="E88" i="23"/>
  <c r="F54" i="18"/>
  <c r="E91" i="18"/>
  <c r="E88" i="16"/>
  <c r="E88" i="17"/>
  <c r="F27" i="17"/>
  <c r="F26" i="17"/>
  <c r="F28" i="33" l="1"/>
  <c r="F28" i="31"/>
  <c r="F28" i="32"/>
  <c r="F28" i="29"/>
  <c r="F28" i="30"/>
  <c r="F28" i="27"/>
  <c r="F28" i="28"/>
  <c r="F28" i="25"/>
  <c r="F28" i="26"/>
  <c r="F28" i="23"/>
  <c r="F28" i="24"/>
  <c r="F28" i="18"/>
  <c r="F97" i="16"/>
  <c r="F28" i="17"/>
  <c r="E11" i="12"/>
  <c r="E39" i="38" l="1"/>
  <c r="E39" i="35"/>
  <c r="E39" i="36"/>
  <c r="E39" i="39"/>
  <c r="F97" i="25"/>
  <c r="F100" i="33"/>
  <c r="F100" i="18"/>
  <c r="F97" i="27"/>
  <c r="F97" i="31"/>
  <c r="F97" i="29"/>
  <c r="F97" i="23"/>
  <c r="E39" i="31"/>
  <c r="E39" i="30"/>
  <c r="E39" i="27"/>
  <c r="E39" i="26"/>
  <c r="E39" i="23"/>
  <c r="E39" i="17"/>
  <c r="E39" i="32"/>
  <c r="E39" i="29"/>
  <c r="E39" i="28"/>
  <c r="E39" i="25"/>
  <c r="E39" i="24"/>
  <c r="E39" i="16"/>
  <c r="F97" i="32"/>
  <c r="F97" i="30"/>
  <c r="F97" i="28"/>
  <c r="F97" i="26"/>
  <c r="F97" i="24"/>
  <c r="F97" i="17"/>
  <c r="F50" i="9"/>
  <c r="F49" i="7"/>
  <c r="F49" i="2"/>
  <c r="C26" i="2"/>
  <c r="F78" i="38" l="1"/>
  <c r="F78" i="35"/>
  <c r="F78" i="39"/>
  <c r="F78" i="36"/>
  <c r="F80" i="39"/>
  <c r="F80" i="35"/>
  <c r="F80" i="38"/>
  <c r="F80" i="36"/>
  <c r="F79" i="35"/>
  <c r="F79" i="39"/>
  <c r="F79" i="38"/>
  <c r="F79" i="36"/>
  <c r="F81" i="33"/>
  <c r="F78" i="17"/>
  <c r="F78" i="31"/>
  <c r="F78" i="30"/>
  <c r="F78" i="27"/>
  <c r="F78" i="26"/>
  <c r="F78" i="23"/>
  <c r="F78" i="16"/>
  <c r="F78" i="32"/>
  <c r="F78" i="29"/>
  <c r="F78" i="28"/>
  <c r="F78" i="25"/>
  <c r="F78" i="24"/>
  <c r="F81" i="18"/>
  <c r="F80" i="16"/>
  <c r="F80" i="32"/>
  <c r="F80" i="29"/>
  <c r="F80" i="28"/>
  <c r="F80" i="25"/>
  <c r="F80" i="24"/>
  <c r="F83" i="18"/>
  <c r="F80" i="17"/>
  <c r="F83" i="33"/>
  <c r="F80" i="31"/>
  <c r="F80" i="30"/>
  <c r="F80" i="27"/>
  <c r="F80" i="26"/>
  <c r="F80" i="23"/>
  <c r="F79" i="32"/>
  <c r="F79" i="29"/>
  <c r="F79" i="28"/>
  <c r="F79" i="25"/>
  <c r="F79" i="24"/>
  <c r="F82" i="18"/>
  <c r="F82" i="33"/>
  <c r="F79" i="17"/>
  <c r="F79" i="31"/>
  <c r="F79" i="30"/>
  <c r="F79" i="27"/>
  <c r="F79" i="26"/>
  <c r="F79" i="23"/>
  <c r="F79" i="16"/>
  <c r="F57" i="11"/>
  <c r="F82" i="38" l="1"/>
  <c r="F101" i="38" s="1"/>
  <c r="F82" i="39"/>
  <c r="F101" i="39" s="1"/>
  <c r="F82" i="36"/>
  <c r="F101" i="36" s="1"/>
  <c r="F82" i="35"/>
  <c r="F101" i="35" s="1"/>
  <c r="F48" i="28"/>
  <c r="F53" i="28" s="1"/>
  <c r="F48" i="27"/>
  <c r="F53" i="27" s="1"/>
  <c r="F85" i="18"/>
  <c r="F104" i="18" s="1"/>
  <c r="F82" i="25"/>
  <c r="F101" i="25" s="1"/>
  <c r="F82" i="16"/>
  <c r="F101" i="16" s="1"/>
  <c r="F82" i="27"/>
  <c r="F101" i="27" s="1"/>
  <c r="F85" i="33"/>
  <c r="F104" i="33" s="1"/>
  <c r="F82" i="24"/>
  <c r="F101" i="24" s="1"/>
  <c r="F82" i="32"/>
  <c r="F101" i="32" s="1"/>
  <c r="F82" i="26"/>
  <c r="F101" i="26" s="1"/>
  <c r="F82" i="17"/>
  <c r="F101" i="17" s="1"/>
  <c r="F82" i="28"/>
  <c r="F101" i="28" s="1"/>
  <c r="F82" i="30"/>
  <c r="F101" i="30" s="1"/>
  <c r="F82" i="29"/>
  <c r="F101" i="29" s="1"/>
  <c r="F82" i="23"/>
  <c r="F101" i="23" s="1"/>
  <c r="F82" i="31"/>
  <c r="F101" i="31" s="1"/>
  <c r="F41" i="10"/>
  <c r="E41" i="10"/>
  <c r="D41" i="10"/>
  <c r="F39" i="10"/>
  <c r="D39" i="10"/>
  <c r="E21" i="12" l="1"/>
  <c r="E20" i="12"/>
  <c r="E56" i="39" l="1"/>
  <c r="E57" i="39"/>
  <c r="E56" i="38"/>
  <c r="E57" i="38"/>
  <c r="E57" i="36"/>
  <c r="E56" i="36"/>
  <c r="E57" i="35"/>
  <c r="E56" i="35"/>
  <c r="E59" i="33"/>
  <c r="E58" i="33"/>
  <c r="E57" i="32"/>
  <c r="E56" i="32"/>
  <c r="E57" i="31"/>
  <c r="E56" i="31"/>
  <c r="E57" i="30"/>
  <c r="E56" i="30"/>
  <c r="E57" i="29"/>
  <c r="E56" i="29"/>
  <c r="E57" i="28"/>
  <c r="E56" i="28"/>
  <c r="E57" i="27"/>
  <c r="E56" i="27"/>
  <c r="E57" i="26"/>
  <c r="E56" i="26"/>
  <c r="E57" i="25"/>
  <c r="E56" i="25"/>
  <c r="E57" i="24"/>
  <c r="E56" i="24"/>
  <c r="E56" i="23"/>
  <c r="E57" i="23"/>
  <c r="E59" i="18"/>
  <c r="E58" i="18"/>
  <c r="E57" i="17"/>
  <c r="E56" i="17"/>
  <c r="E57" i="16"/>
  <c r="E22" i="12"/>
  <c r="E56" i="16"/>
  <c r="F33" i="14"/>
  <c r="E58" i="39" l="1"/>
  <c r="E58" i="38"/>
  <c r="E58" i="36"/>
  <c r="E58" i="35"/>
  <c r="E60" i="33"/>
  <c r="E58" i="32"/>
  <c r="E58" i="31"/>
  <c r="E58" i="30"/>
  <c r="E58" i="29"/>
  <c r="E58" i="28"/>
  <c r="E58" i="27"/>
  <c r="E58" i="26"/>
  <c r="E58" i="25"/>
  <c r="E58" i="24"/>
  <c r="E58" i="23"/>
  <c r="E60" i="18"/>
  <c r="E58" i="17"/>
  <c r="E58" i="16"/>
  <c r="D37" i="10"/>
  <c r="D7" i="10"/>
  <c r="D8" i="10"/>
  <c r="D6" i="10"/>
  <c r="D9" i="2" l="1"/>
  <c r="D9" i="7"/>
  <c r="D9" i="9"/>
  <c r="B1" i="2"/>
  <c r="F2" i="9" l="1"/>
  <c r="F2" i="7"/>
  <c r="F2" i="2"/>
  <c r="E31" i="12" l="1"/>
  <c r="C31" i="12"/>
  <c r="E71" i="9" l="1"/>
  <c r="E69" i="7"/>
  <c r="E69" i="2"/>
  <c r="F27" i="9" l="1"/>
  <c r="C27" i="9"/>
  <c r="F26" i="9"/>
  <c r="C26" i="9"/>
  <c r="C53" i="9"/>
  <c r="C52" i="9"/>
  <c r="C51" i="9"/>
  <c r="C27" i="7"/>
  <c r="C26" i="7"/>
  <c r="C51" i="2"/>
  <c r="C50" i="2"/>
  <c r="C27" i="2"/>
  <c r="F27" i="2"/>
  <c r="D33" i="13" l="1"/>
  <c r="E33" i="13"/>
  <c r="F33" i="13"/>
  <c r="G33" i="13"/>
  <c r="H33" i="13"/>
  <c r="C33" i="13"/>
  <c r="C32" i="13"/>
  <c r="C34" i="13" s="1"/>
  <c r="D32" i="13"/>
  <c r="D34" i="13" s="1"/>
  <c r="E32" i="13"/>
  <c r="E34" i="13" s="1"/>
  <c r="F32" i="13"/>
  <c r="F34" i="13" s="1"/>
  <c r="G32" i="13"/>
  <c r="G34" i="13" s="1"/>
  <c r="H32" i="13"/>
  <c r="H34" i="13" s="1"/>
  <c r="E30" i="10" l="1"/>
  <c r="D30" i="10"/>
  <c r="F37" i="10"/>
  <c r="F30" i="10"/>
  <c r="E37" i="10"/>
  <c r="G2" i="13"/>
  <c r="E2" i="13"/>
  <c r="C2" i="13"/>
  <c r="F2" i="10" l="1"/>
  <c r="B2" i="10"/>
  <c r="B1" i="10"/>
  <c r="F49" i="9"/>
  <c r="F25" i="2"/>
  <c r="F23" i="7"/>
  <c r="F25" i="9"/>
  <c r="F24" i="9"/>
  <c r="E15" i="9"/>
  <c r="D16" i="9"/>
  <c r="D17" i="9"/>
  <c r="F18" i="9"/>
  <c r="E94" i="9"/>
  <c r="E93" i="9"/>
  <c r="E92" i="9"/>
  <c r="E90" i="9"/>
  <c r="E89" i="9"/>
  <c r="F84" i="9"/>
  <c r="C84" i="9"/>
  <c r="C71" i="9"/>
  <c r="F11" i="9"/>
  <c r="F10" i="9"/>
  <c r="F8" i="9"/>
  <c r="F6" i="9"/>
  <c r="D6" i="9"/>
  <c r="D5" i="9"/>
  <c r="B2" i="9"/>
  <c r="B1" i="9"/>
  <c r="E91" i="2"/>
  <c r="E90" i="2"/>
  <c r="E89" i="2"/>
  <c r="E87" i="2"/>
  <c r="E86" i="2"/>
  <c r="F81" i="2"/>
  <c r="C81" i="2"/>
  <c r="C69" i="2"/>
  <c r="C52" i="2"/>
  <c r="E44" i="2"/>
  <c r="E43" i="2"/>
  <c r="E42" i="2"/>
  <c r="E41" i="2"/>
  <c r="E40" i="2"/>
  <c r="E39" i="2"/>
  <c r="E38" i="2"/>
  <c r="E37" i="2"/>
  <c r="F24" i="2"/>
  <c r="F18" i="2"/>
  <c r="D17" i="2"/>
  <c r="D16" i="2"/>
  <c r="E15" i="2"/>
  <c r="F11" i="2"/>
  <c r="F10" i="2"/>
  <c r="F8" i="2"/>
  <c r="F6" i="2"/>
  <c r="D6" i="2"/>
  <c r="D5" i="2"/>
  <c r="B2" i="2"/>
  <c r="F81" i="7"/>
  <c r="C81" i="7"/>
  <c r="C69" i="7"/>
  <c r="E44" i="7"/>
  <c r="E43" i="7"/>
  <c r="E42" i="7"/>
  <c r="E41" i="7"/>
  <c r="E40" i="7"/>
  <c r="E39" i="7"/>
  <c r="E38" i="7"/>
  <c r="E37" i="7"/>
  <c r="E33" i="9"/>
  <c r="E34" i="9"/>
  <c r="B1" i="7"/>
  <c r="B2" i="7"/>
  <c r="D5" i="7"/>
  <c r="D6" i="7"/>
  <c r="F6" i="7"/>
  <c r="F8" i="7"/>
  <c r="F10" i="7"/>
  <c r="F11" i="7"/>
  <c r="E14" i="7"/>
  <c r="D15" i="7"/>
  <c r="D16" i="7"/>
  <c r="F17" i="7"/>
  <c r="E86" i="7"/>
  <c r="E87" i="7"/>
  <c r="E89" i="7"/>
  <c r="E90" i="7"/>
  <c r="E91" i="7"/>
  <c r="E5" i="12"/>
  <c r="E6" i="12"/>
  <c r="E26" i="12"/>
  <c r="E27" i="12"/>
  <c r="E28" i="12"/>
  <c r="E29" i="12"/>
  <c r="E81" i="11"/>
  <c r="E82" i="11"/>
  <c r="E83" i="11"/>
  <c r="E64" i="39" l="1"/>
  <c r="E65" i="39"/>
  <c r="F32" i="39"/>
  <c r="E32" i="39"/>
  <c r="E33" i="39"/>
  <c r="F33" i="39"/>
  <c r="E67" i="39"/>
  <c r="E66" i="39"/>
  <c r="E65" i="38"/>
  <c r="E64" i="38"/>
  <c r="F32" i="38"/>
  <c r="E32" i="38"/>
  <c r="F33" i="38"/>
  <c r="E33" i="38"/>
  <c r="E67" i="38"/>
  <c r="E66" i="38"/>
  <c r="E65" i="36"/>
  <c r="E64" i="36"/>
  <c r="F33" i="36"/>
  <c r="E33" i="36"/>
  <c r="E66" i="36"/>
  <c r="E32" i="36"/>
  <c r="F32" i="36"/>
  <c r="E67" i="36"/>
  <c r="F32" i="35"/>
  <c r="E32" i="35"/>
  <c r="E65" i="35"/>
  <c r="E64" i="35"/>
  <c r="E67" i="35"/>
  <c r="F33" i="35"/>
  <c r="E33" i="35"/>
  <c r="E66" i="35"/>
  <c r="F34" i="33"/>
  <c r="F33" i="33"/>
  <c r="F48" i="2"/>
  <c r="F53" i="2" s="1"/>
  <c r="F48" i="17"/>
  <c r="F53" i="17" s="1"/>
  <c r="E68" i="33"/>
  <c r="E69" i="33"/>
  <c r="E66" i="33"/>
  <c r="E67" i="33"/>
  <c r="E65" i="32"/>
  <c r="E66" i="32"/>
  <c r="F32" i="32"/>
  <c r="E32" i="32"/>
  <c r="E67" i="32"/>
  <c r="E33" i="32"/>
  <c r="F33" i="32"/>
  <c r="E64" i="32"/>
  <c r="E66" i="31"/>
  <c r="E32" i="31"/>
  <c r="F32" i="31"/>
  <c r="E67" i="31"/>
  <c r="F33" i="31"/>
  <c r="E33" i="31"/>
  <c r="E64" i="31"/>
  <c r="E65" i="31"/>
  <c r="F32" i="30"/>
  <c r="E32" i="30"/>
  <c r="E66" i="30"/>
  <c r="E67" i="30"/>
  <c r="E33" i="30"/>
  <c r="F33" i="30"/>
  <c r="E64" i="30"/>
  <c r="E65" i="30"/>
  <c r="E65" i="29"/>
  <c r="E66" i="29"/>
  <c r="E32" i="29"/>
  <c r="F32" i="29"/>
  <c r="E67" i="29"/>
  <c r="F33" i="29"/>
  <c r="E33" i="29"/>
  <c r="E64" i="29"/>
  <c r="E66" i="28"/>
  <c r="F32" i="28"/>
  <c r="E32" i="28"/>
  <c r="E67" i="28"/>
  <c r="E33" i="28"/>
  <c r="F33" i="28"/>
  <c r="E64" i="28"/>
  <c r="E65" i="28"/>
  <c r="E66" i="27"/>
  <c r="E32" i="27"/>
  <c r="F32" i="27"/>
  <c r="E67" i="27"/>
  <c r="F33" i="27"/>
  <c r="E33" i="27"/>
  <c r="E64" i="27"/>
  <c r="E65" i="27"/>
  <c r="E66" i="26"/>
  <c r="F32" i="26"/>
  <c r="E32" i="26"/>
  <c r="E67" i="26"/>
  <c r="E33" i="26"/>
  <c r="F33" i="26"/>
  <c r="E64" i="26"/>
  <c r="E65" i="26"/>
  <c r="E32" i="25"/>
  <c r="F32" i="25"/>
  <c r="E66" i="25"/>
  <c r="E67" i="25"/>
  <c r="F33" i="25"/>
  <c r="E33" i="25"/>
  <c r="E64" i="25"/>
  <c r="E65" i="25"/>
  <c r="E67" i="24"/>
  <c r="E66" i="24"/>
  <c r="E33" i="24"/>
  <c r="F33" i="24"/>
  <c r="E64" i="24"/>
  <c r="F32" i="24"/>
  <c r="E32" i="24"/>
  <c r="E65" i="24"/>
  <c r="E66" i="23"/>
  <c r="F33" i="23"/>
  <c r="E33" i="23"/>
  <c r="E64" i="23"/>
  <c r="E32" i="23"/>
  <c r="F32" i="23"/>
  <c r="E67" i="23"/>
  <c r="E65" i="23"/>
  <c r="F33" i="18"/>
  <c r="F34" i="18"/>
  <c r="E68" i="18"/>
  <c r="E69" i="18"/>
  <c r="E66" i="18"/>
  <c r="E67" i="18"/>
  <c r="E66" i="17"/>
  <c r="F32" i="17"/>
  <c r="E32" i="17"/>
  <c r="E67" i="17"/>
  <c r="E33" i="17"/>
  <c r="F33" i="17"/>
  <c r="E64" i="17"/>
  <c r="E65" i="17"/>
  <c r="E66" i="16"/>
  <c r="E32" i="7"/>
  <c r="E32" i="16"/>
  <c r="F32" i="16"/>
  <c r="E67" i="16"/>
  <c r="E33" i="7"/>
  <c r="E33" i="16"/>
  <c r="F33" i="16"/>
  <c r="E64" i="16"/>
  <c r="E65" i="16"/>
  <c r="E67" i="7"/>
  <c r="E69" i="9"/>
  <c r="E67" i="2"/>
  <c r="E66" i="7"/>
  <c r="E68" i="9"/>
  <c r="E66" i="2"/>
  <c r="E65" i="2"/>
  <c r="E65" i="7"/>
  <c r="E67" i="9"/>
  <c r="E64" i="2"/>
  <c r="E64" i="7"/>
  <c r="E66" i="9"/>
  <c r="F54" i="9"/>
  <c r="F28" i="2"/>
  <c r="F28" i="9"/>
  <c r="E32" i="2"/>
  <c r="E33" i="2"/>
  <c r="E88" i="2"/>
  <c r="F82" i="2"/>
  <c r="F101" i="2" s="1"/>
  <c r="E57" i="2"/>
  <c r="E59" i="9"/>
  <c r="E57" i="7"/>
  <c r="E56" i="7"/>
  <c r="E56" i="2"/>
  <c r="E58" i="9"/>
  <c r="E91" i="9"/>
  <c r="F85" i="9"/>
  <c r="F104" i="9" s="1"/>
  <c r="E88" i="7"/>
  <c r="E17" i="12"/>
  <c r="F85" i="11" l="1"/>
  <c r="F94" i="35" s="1"/>
  <c r="F34" i="38"/>
  <c r="F35" i="33"/>
  <c r="F38" i="33" s="1"/>
  <c r="F34" i="39"/>
  <c r="F34" i="36"/>
  <c r="F34" i="35"/>
  <c r="F87" i="11"/>
  <c r="F34" i="23"/>
  <c r="F34" i="30"/>
  <c r="F32" i="2"/>
  <c r="F33" i="2"/>
  <c r="F34" i="32"/>
  <c r="F34" i="31"/>
  <c r="F34" i="29"/>
  <c r="F34" i="24"/>
  <c r="F34" i="28"/>
  <c r="F34" i="27"/>
  <c r="F34" i="26"/>
  <c r="F35" i="18"/>
  <c r="F34" i="25"/>
  <c r="F34" i="17"/>
  <c r="F34" i="16"/>
  <c r="D32" i="10"/>
  <c r="F32" i="10"/>
  <c r="F97" i="2"/>
  <c r="E60" i="9"/>
  <c r="E58" i="7"/>
  <c r="E58" i="2"/>
  <c r="F34" i="9"/>
  <c r="F33" i="9"/>
  <c r="F100" i="9"/>
  <c r="E30" i="12"/>
  <c r="F39" i="33" l="1"/>
  <c r="F42" i="33"/>
  <c r="F44" i="33"/>
  <c r="F60" i="33"/>
  <c r="F40" i="33"/>
  <c r="F94" i="38"/>
  <c r="F103" i="38" s="1"/>
  <c r="F43" i="33"/>
  <c r="F45" i="33"/>
  <c r="F58" i="33" s="1"/>
  <c r="F39" i="23"/>
  <c r="F39" i="18"/>
  <c r="F41" i="27"/>
  <c r="F41" i="33"/>
  <c r="F43" i="38"/>
  <c r="F41" i="36"/>
  <c r="F39" i="32"/>
  <c r="F40" i="30"/>
  <c r="F38" i="24"/>
  <c r="F39" i="17"/>
  <c r="F58" i="38"/>
  <c r="F44" i="38"/>
  <c r="F56" i="38" s="1"/>
  <c r="F39" i="38"/>
  <c r="F40" i="38"/>
  <c r="F43" i="36"/>
  <c r="F37" i="36"/>
  <c r="F38" i="36"/>
  <c r="F40" i="36"/>
  <c r="F37" i="38"/>
  <c r="F42" i="38"/>
  <c r="F38" i="38"/>
  <c r="F41" i="38"/>
  <c r="F44" i="36"/>
  <c r="F56" i="36" s="1"/>
  <c r="E68" i="39"/>
  <c r="F58" i="36"/>
  <c r="F39" i="39"/>
  <c r="F40" i="39"/>
  <c r="F41" i="39"/>
  <c r="F37" i="39"/>
  <c r="F43" i="39"/>
  <c r="F42" i="39"/>
  <c r="F38" i="39"/>
  <c r="F44" i="39"/>
  <c r="F56" i="39" s="1"/>
  <c r="F58" i="39"/>
  <c r="E68" i="38"/>
  <c r="F42" i="36"/>
  <c r="F39" i="36"/>
  <c r="F103" i="35"/>
  <c r="E68" i="36"/>
  <c r="E68" i="35"/>
  <c r="F40" i="35"/>
  <c r="F42" i="35"/>
  <c r="F44" i="35"/>
  <c r="F56" i="35" s="1"/>
  <c r="F38" i="35"/>
  <c r="F39" i="35"/>
  <c r="F41" i="35"/>
  <c r="F43" i="35"/>
  <c r="F37" i="35"/>
  <c r="F58" i="35"/>
  <c r="F94" i="29"/>
  <c r="F103" i="29" s="1"/>
  <c r="F94" i="16"/>
  <c r="F103" i="16" s="1"/>
  <c r="F94" i="23"/>
  <c r="F103" i="23" s="1"/>
  <c r="F94" i="31"/>
  <c r="F103" i="31" s="1"/>
  <c r="F94" i="2"/>
  <c r="F103" i="2" s="1"/>
  <c r="F94" i="25"/>
  <c r="F103" i="25" s="1"/>
  <c r="F94" i="27"/>
  <c r="F103" i="27" s="1"/>
  <c r="F97" i="33"/>
  <c r="F106" i="33" s="1"/>
  <c r="F97" i="18"/>
  <c r="F106" i="18" s="1"/>
  <c r="F97" i="9"/>
  <c r="F106" i="9" s="1"/>
  <c r="F38" i="30"/>
  <c r="F37" i="30"/>
  <c r="F44" i="30"/>
  <c r="F58" i="23"/>
  <c r="F58" i="30"/>
  <c r="F39" i="30"/>
  <c r="F42" i="30"/>
  <c r="F38" i="23"/>
  <c r="F43" i="23"/>
  <c r="F41" i="30"/>
  <c r="F42" i="23"/>
  <c r="F37" i="23"/>
  <c r="F41" i="23"/>
  <c r="F40" i="23"/>
  <c r="F44" i="23"/>
  <c r="F43" i="30"/>
  <c r="E70" i="33"/>
  <c r="F44" i="18"/>
  <c r="F41" i="24"/>
  <c r="F40" i="18"/>
  <c r="F40" i="32"/>
  <c r="F58" i="32"/>
  <c r="F41" i="32"/>
  <c r="F37" i="32"/>
  <c r="F42" i="32"/>
  <c r="F38" i="32"/>
  <c r="F44" i="32"/>
  <c r="F43" i="32"/>
  <c r="E68" i="32"/>
  <c r="E68" i="31"/>
  <c r="F38" i="31"/>
  <c r="F37" i="31"/>
  <c r="F42" i="31"/>
  <c r="F41" i="31"/>
  <c r="F40" i="31"/>
  <c r="F39" i="31"/>
  <c r="F43" i="31"/>
  <c r="F44" i="31"/>
  <c r="F58" i="31"/>
  <c r="E68" i="30"/>
  <c r="F38" i="29"/>
  <c r="F37" i="29"/>
  <c r="F40" i="29"/>
  <c r="F39" i="29"/>
  <c r="F42" i="29"/>
  <c r="F41" i="29"/>
  <c r="F44" i="29"/>
  <c r="F43" i="29"/>
  <c r="F58" i="29"/>
  <c r="E68" i="29"/>
  <c r="F43" i="24"/>
  <c r="E68" i="28"/>
  <c r="F39" i="24"/>
  <c r="F60" i="18"/>
  <c r="F43" i="18"/>
  <c r="F42" i="18"/>
  <c r="F58" i="24"/>
  <c r="F40" i="24"/>
  <c r="F37" i="24"/>
  <c r="F37" i="28"/>
  <c r="F38" i="28"/>
  <c r="F39" i="28"/>
  <c r="F40" i="28"/>
  <c r="F43" i="28"/>
  <c r="F41" i="28"/>
  <c r="F42" i="28"/>
  <c r="F44" i="28"/>
  <c r="F58" i="28"/>
  <c r="F38" i="18"/>
  <c r="F41" i="18"/>
  <c r="F42" i="24"/>
  <c r="F45" i="18"/>
  <c r="F44" i="24"/>
  <c r="F42" i="27"/>
  <c r="F43" i="27"/>
  <c r="F38" i="27"/>
  <c r="F58" i="27"/>
  <c r="F40" i="27"/>
  <c r="F37" i="27"/>
  <c r="F44" i="27"/>
  <c r="F39" i="27"/>
  <c r="E68" i="27"/>
  <c r="F37" i="26"/>
  <c r="F38" i="26"/>
  <c r="F39" i="26"/>
  <c r="F40" i="26"/>
  <c r="F41" i="26"/>
  <c r="F42" i="26"/>
  <c r="F43" i="26"/>
  <c r="F44" i="26"/>
  <c r="F58" i="26"/>
  <c r="E68" i="26"/>
  <c r="E68" i="25"/>
  <c r="F38" i="25"/>
  <c r="F37" i="25"/>
  <c r="F40" i="25"/>
  <c r="F39" i="25"/>
  <c r="F43" i="25"/>
  <c r="F42" i="25"/>
  <c r="F41" i="25"/>
  <c r="F44" i="25"/>
  <c r="F58" i="25"/>
  <c r="E68" i="24"/>
  <c r="E68" i="23"/>
  <c r="E70" i="18"/>
  <c r="F43" i="17"/>
  <c r="F37" i="17"/>
  <c r="F38" i="17"/>
  <c r="F40" i="17"/>
  <c r="F58" i="17"/>
  <c r="F44" i="17"/>
  <c r="F41" i="17"/>
  <c r="F42" i="17"/>
  <c r="E68" i="17"/>
  <c r="F41" i="16"/>
  <c r="F38" i="16"/>
  <c r="F40" i="16"/>
  <c r="F44" i="16"/>
  <c r="F43" i="16"/>
  <c r="F42" i="16"/>
  <c r="F37" i="16"/>
  <c r="F39" i="16"/>
  <c r="F58" i="16"/>
  <c r="E68" i="16"/>
  <c r="E70" i="9"/>
  <c r="E68" i="2"/>
  <c r="E68" i="7"/>
  <c r="F34" i="2"/>
  <c r="F35" i="9"/>
  <c r="F46" i="33" l="1"/>
  <c r="F59" i="33" s="1"/>
  <c r="F61" i="33" s="1"/>
  <c r="F102" i="33" s="1"/>
  <c r="F45" i="36"/>
  <c r="F45" i="38"/>
  <c r="F45" i="39"/>
  <c r="F45" i="35"/>
  <c r="F56" i="30"/>
  <c r="F45" i="30"/>
  <c r="F45" i="23"/>
  <c r="F58" i="18"/>
  <c r="F56" i="23"/>
  <c r="F56" i="32"/>
  <c r="F45" i="32"/>
  <c r="F45" i="24"/>
  <c r="F56" i="31"/>
  <c r="F45" i="31"/>
  <c r="F45" i="27"/>
  <c r="F56" i="24"/>
  <c r="F46" i="18"/>
  <c r="F59" i="18" s="1"/>
  <c r="F56" i="27"/>
  <c r="F56" i="28"/>
  <c r="F56" i="29"/>
  <c r="F45" i="29"/>
  <c r="F45" i="28"/>
  <c r="F45" i="26"/>
  <c r="F56" i="26"/>
  <c r="F56" i="25"/>
  <c r="F45" i="25"/>
  <c r="F56" i="16"/>
  <c r="F45" i="17"/>
  <c r="F56" i="17"/>
  <c r="F45" i="16"/>
  <c r="F60" i="9"/>
  <c r="F37" i="2"/>
  <c r="F58" i="2"/>
  <c r="F45" i="9"/>
  <c r="F44" i="9"/>
  <c r="F38" i="9"/>
  <c r="F39" i="9"/>
  <c r="F43" i="9"/>
  <c r="F42" i="9"/>
  <c r="F41" i="9"/>
  <c r="F40" i="9"/>
  <c r="F44" i="2"/>
  <c r="F39" i="2"/>
  <c r="F42" i="2"/>
  <c r="F43" i="2"/>
  <c r="F41" i="2"/>
  <c r="F38" i="2"/>
  <c r="F40" i="2"/>
  <c r="F101" i="33" l="1"/>
  <c r="F70" i="33"/>
  <c r="F66" i="33"/>
  <c r="F67" i="33"/>
  <c r="F68" i="33"/>
  <c r="F71" i="33"/>
  <c r="F69" i="33"/>
  <c r="F76" i="33"/>
  <c r="F77" i="33" s="1"/>
  <c r="F57" i="27"/>
  <c r="F59" i="27" s="1"/>
  <c r="F98" i="23"/>
  <c r="F98" i="38"/>
  <c r="F101" i="18"/>
  <c r="F98" i="36"/>
  <c r="F57" i="32"/>
  <c r="F59" i="32" s="1"/>
  <c r="F98" i="30"/>
  <c r="F57" i="24"/>
  <c r="F59" i="24" s="1"/>
  <c r="F57" i="17"/>
  <c r="F59" i="17" s="1"/>
  <c r="F57" i="36"/>
  <c r="F59" i="36" s="1"/>
  <c r="F57" i="38"/>
  <c r="F59" i="38" s="1"/>
  <c r="F98" i="39"/>
  <c r="F57" i="39"/>
  <c r="F59" i="39" s="1"/>
  <c r="F61" i="18"/>
  <c r="F69" i="18" s="1"/>
  <c r="F57" i="23"/>
  <c r="F59" i="23" s="1"/>
  <c r="F98" i="35"/>
  <c r="F57" i="35"/>
  <c r="F59" i="35" s="1"/>
  <c r="F57" i="30"/>
  <c r="F59" i="30" s="1"/>
  <c r="F98" i="24"/>
  <c r="F98" i="32"/>
  <c r="F98" i="27"/>
  <c r="F98" i="31"/>
  <c r="F57" i="31"/>
  <c r="F59" i="31" s="1"/>
  <c r="F98" i="29"/>
  <c r="F57" i="29"/>
  <c r="F59" i="29" s="1"/>
  <c r="F57" i="28"/>
  <c r="F59" i="28" s="1"/>
  <c r="F98" i="28"/>
  <c r="F98" i="26"/>
  <c r="F57" i="26"/>
  <c r="F59" i="26" s="1"/>
  <c r="F98" i="25"/>
  <c r="F57" i="25"/>
  <c r="F59" i="25" s="1"/>
  <c r="F98" i="17"/>
  <c r="F56" i="2"/>
  <c r="F58" i="9"/>
  <c r="F57" i="16"/>
  <c r="F59" i="16" s="1"/>
  <c r="F98" i="16"/>
  <c r="F46" i="9"/>
  <c r="F45" i="2"/>
  <c r="F71" i="18" l="1"/>
  <c r="F68" i="18"/>
  <c r="F66" i="18"/>
  <c r="F70" i="18"/>
  <c r="F67" i="18"/>
  <c r="F72" i="33"/>
  <c r="F89" i="33" s="1"/>
  <c r="F90" i="33" s="1"/>
  <c r="F102" i="18"/>
  <c r="F65" i="24"/>
  <c r="F73" i="24"/>
  <c r="F74" i="24" s="1"/>
  <c r="F73" i="26"/>
  <c r="F74" i="26" s="1"/>
  <c r="F64" i="23"/>
  <c r="F73" i="23"/>
  <c r="F74" i="23" s="1"/>
  <c r="F67" i="32"/>
  <c r="F73" i="32"/>
  <c r="F74" i="32" s="1"/>
  <c r="F99" i="31"/>
  <c r="F73" i="31"/>
  <c r="F74" i="31" s="1"/>
  <c r="F73" i="39"/>
  <c r="F74" i="39" s="1"/>
  <c r="F99" i="16"/>
  <c r="F73" i="16"/>
  <c r="F74" i="16" s="1"/>
  <c r="F99" i="28"/>
  <c r="F73" i="28"/>
  <c r="F74" i="28" s="1"/>
  <c r="F103" i="33"/>
  <c r="F76" i="18"/>
  <c r="F77" i="18" s="1"/>
  <c r="F66" i="38"/>
  <c r="F73" i="38"/>
  <c r="F74" i="38" s="1"/>
  <c r="F65" i="17"/>
  <c r="F73" i="17"/>
  <c r="F74" i="17" s="1"/>
  <c r="F69" i="30"/>
  <c r="F73" i="30"/>
  <c r="F74" i="30" s="1"/>
  <c r="F68" i="36"/>
  <c r="F73" i="36"/>
  <c r="F74" i="36" s="1"/>
  <c r="F73" i="29"/>
  <c r="F74" i="29" s="1"/>
  <c r="F73" i="25"/>
  <c r="F74" i="25" s="1"/>
  <c r="F66" i="27"/>
  <c r="F73" i="27"/>
  <c r="F74" i="27" s="1"/>
  <c r="F73" i="35"/>
  <c r="F74" i="35" s="1"/>
  <c r="F65" i="36"/>
  <c r="F66" i="36"/>
  <c r="F67" i="38"/>
  <c r="F64" i="36"/>
  <c r="F69" i="38"/>
  <c r="F67" i="36"/>
  <c r="F69" i="36"/>
  <c r="F99" i="38"/>
  <c r="F65" i="38"/>
  <c r="F99" i="36"/>
  <c r="F68" i="38"/>
  <c r="F64" i="38"/>
  <c r="F99" i="39"/>
  <c r="F69" i="39"/>
  <c r="F64" i="39"/>
  <c r="F67" i="39"/>
  <c r="F65" i="39"/>
  <c r="F66" i="39"/>
  <c r="F68" i="39"/>
  <c r="F99" i="35"/>
  <c r="F69" i="35"/>
  <c r="F65" i="35"/>
  <c r="F67" i="35"/>
  <c r="F66" i="35"/>
  <c r="F64" i="35"/>
  <c r="F68" i="35"/>
  <c r="F67" i="24"/>
  <c r="F68" i="24"/>
  <c r="F66" i="24"/>
  <c r="F69" i="24"/>
  <c r="F64" i="24"/>
  <c r="F99" i="32"/>
  <c r="F68" i="32"/>
  <c r="F65" i="30"/>
  <c r="F99" i="30"/>
  <c r="F66" i="30"/>
  <c r="F68" i="30"/>
  <c r="F67" i="30"/>
  <c r="F64" i="30"/>
  <c r="F66" i="32"/>
  <c r="F99" i="23"/>
  <c r="F99" i="24"/>
  <c r="F69" i="23"/>
  <c r="F65" i="32"/>
  <c r="F65" i="23"/>
  <c r="F68" i="23"/>
  <c r="F66" i="23"/>
  <c r="F67" i="23"/>
  <c r="F64" i="32"/>
  <c r="F69" i="32"/>
  <c r="F99" i="27"/>
  <c r="F68" i="27"/>
  <c r="F65" i="27"/>
  <c r="F67" i="27"/>
  <c r="F64" i="27"/>
  <c r="F69" i="27"/>
  <c r="F69" i="31"/>
  <c r="F65" i="31"/>
  <c r="F67" i="31"/>
  <c r="F64" i="31"/>
  <c r="F68" i="31"/>
  <c r="F66" i="31"/>
  <c r="F68" i="17"/>
  <c r="F99" i="29"/>
  <c r="F68" i="29"/>
  <c r="F69" i="29"/>
  <c r="F64" i="29"/>
  <c r="F66" i="29"/>
  <c r="F67" i="29"/>
  <c r="F65" i="29"/>
  <c r="F68" i="28"/>
  <c r="F67" i="28"/>
  <c r="F65" i="28"/>
  <c r="F66" i="28"/>
  <c r="F64" i="28"/>
  <c r="F69" i="28"/>
  <c r="F99" i="26"/>
  <c r="F64" i="26"/>
  <c r="F65" i="26"/>
  <c r="F66" i="26"/>
  <c r="F69" i="26"/>
  <c r="F68" i="26"/>
  <c r="F67" i="26"/>
  <c r="F99" i="25"/>
  <c r="F67" i="25"/>
  <c r="F65" i="25"/>
  <c r="F69" i="25"/>
  <c r="F68" i="25"/>
  <c r="F66" i="25"/>
  <c r="F64" i="25"/>
  <c r="F99" i="17"/>
  <c r="F67" i="17"/>
  <c r="F64" i="17"/>
  <c r="F69" i="17"/>
  <c r="F66" i="17"/>
  <c r="F66" i="16"/>
  <c r="F65" i="16"/>
  <c r="F64" i="16"/>
  <c r="F67" i="16"/>
  <c r="F69" i="16"/>
  <c r="F68" i="16"/>
  <c r="F98" i="2"/>
  <c r="F59" i="9"/>
  <c r="F61" i="9" s="1"/>
  <c r="F76" i="9" s="1"/>
  <c r="F57" i="2"/>
  <c r="F59" i="2" s="1"/>
  <c r="F73" i="2" s="1"/>
  <c r="F101" i="9"/>
  <c r="F22" i="7"/>
  <c r="F72" i="18" l="1"/>
  <c r="F103" i="18" s="1"/>
  <c r="F70" i="36"/>
  <c r="F100" i="36" s="1"/>
  <c r="F70" i="38"/>
  <c r="F100" i="38" s="1"/>
  <c r="F70" i="39"/>
  <c r="F100" i="39" s="1"/>
  <c r="F70" i="35"/>
  <c r="F70" i="24"/>
  <c r="F86" i="24" s="1"/>
  <c r="F70" i="30"/>
  <c r="F86" i="30" s="1"/>
  <c r="F87" i="30" s="1"/>
  <c r="F89" i="30" s="1"/>
  <c r="F92" i="33"/>
  <c r="F94" i="33"/>
  <c r="F93" i="33"/>
  <c r="F70" i="32"/>
  <c r="F100" i="32" s="1"/>
  <c r="F70" i="23"/>
  <c r="F86" i="23" s="1"/>
  <c r="F70" i="27"/>
  <c r="F100" i="27" s="1"/>
  <c r="F70" i="31"/>
  <c r="F70" i="28"/>
  <c r="F86" i="28" s="1"/>
  <c r="F70" i="29"/>
  <c r="F70" i="26"/>
  <c r="F86" i="26" s="1"/>
  <c r="F70" i="25"/>
  <c r="F70" i="17"/>
  <c r="F100" i="17" s="1"/>
  <c r="F70" i="16"/>
  <c r="F68" i="2"/>
  <c r="F66" i="9"/>
  <c r="F77" i="9"/>
  <c r="F67" i="9"/>
  <c r="F71" i="9"/>
  <c r="F68" i="9"/>
  <c r="F69" i="9"/>
  <c r="F70" i="9"/>
  <c r="F102" i="9"/>
  <c r="F67" i="2"/>
  <c r="F66" i="2"/>
  <c r="F99" i="2"/>
  <c r="F64" i="2"/>
  <c r="F69" i="2"/>
  <c r="F65" i="2"/>
  <c r="F48" i="7"/>
  <c r="F53" i="7" s="1"/>
  <c r="F26" i="7"/>
  <c r="F89" i="18" l="1"/>
  <c r="F90" i="18" s="1"/>
  <c r="F92" i="18" s="1"/>
  <c r="F86" i="36"/>
  <c r="F87" i="36" s="1"/>
  <c r="F86" i="38"/>
  <c r="F87" i="38" s="1"/>
  <c r="F90" i="38" s="1"/>
  <c r="F100" i="30"/>
  <c r="F86" i="39"/>
  <c r="F87" i="39" s="1"/>
  <c r="F89" i="39" s="1"/>
  <c r="F100" i="35"/>
  <c r="F86" i="35"/>
  <c r="F100" i="24"/>
  <c r="F86" i="27"/>
  <c r="F87" i="27" s="1"/>
  <c r="F91" i="27" s="1"/>
  <c r="F91" i="33"/>
  <c r="F95" i="33" s="1"/>
  <c r="F105" i="33" s="1"/>
  <c r="F86" i="32"/>
  <c r="F87" i="32" s="1"/>
  <c r="F90" i="32" s="1"/>
  <c r="F100" i="23"/>
  <c r="F87" i="23"/>
  <c r="F91" i="23" s="1"/>
  <c r="F100" i="31"/>
  <c r="F86" i="31"/>
  <c r="F91" i="30"/>
  <c r="F90" i="30"/>
  <c r="F100" i="29"/>
  <c r="F86" i="29"/>
  <c r="F87" i="29" s="1"/>
  <c r="F91" i="29" s="1"/>
  <c r="F100" i="28"/>
  <c r="F87" i="28"/>
  <c r="F100" i="26"/>
  <c r="F87" i="26"/>
  <c r="F90" i="26" s="1"/>
  <c r="F100" i="25"/>
  <c r="F86" i="25"/>
  <c r="F87" i="25" s="1"/>
  <c r="F87" i="24"/>
  <c r="F91" i="24" s="1"/>
  <c r="F86" i="17"/>
  <c r="F87" i="17" s="1"/>
  <c r="F90" i="17" s="1"/>
  <c r="F100" i="16"/>
  <c r="F86" i="16"/>
  <c r="F72" i="9"/>
  <c r="F90" i="39" l="1"/>
  <c r="F91" i="39"/>
  <c r="F91" i="38"/>
  <c r="F89" i="38"/>
  <c r="F91" i="36"/>
  <c r="F90" i="36"/>
  <c r="F89" i="36"/>
  <c r="F87" i="35"/>
  <c r="F89" i="27"/>
  <c r="F90" i="27"/>
  <c r="F107" i="33"/>
  <c r="F108" i="33" s="1"/>
  <c r="F24" i="10" s="1"/>
  <c r="G24" i="10" s="1"/>
  <c r="F89" i="23"/>
  <c r="F91" i="32"/>
  <c r="F90" i="23"/>
  <c r="F89" i="32"/>
  <c r="F88" i="30"/>
  <c r="F92" i="30" s="1"/>
  <c r="F102" i="30" s="1"/>
  <c r="F87" i="31"/>
  <c r="F89" i="29"/>
  <c r="F90" i="29"/>
  <c r="F90" i="28"/>
  <c r="F91" i="28"/>
  <c r="F89" i="28"/>
  <c r="F89" i="26"/>
  <c r="F91" i="26"/>
  <c r="F89" i="25"/>
  <c r="F90" i="25"/>
  <c r="F91" i="25"/>
  <c r="F89" i="24"/>
  <c r="F90" i="24"/>
  <c r="F93" i="18"/>
  <c r="F94" i="18"/>
  <c r="F89" i="17"/>
  <c r="F91" i="17"/>
  <c r="F87" i="16"/>
  <c r="F91" i="16" s="1"/>
  <c r="F27" i="7"/>
  <c r="F28" i="7" s="1"/>
  <c r="F31" i="10"/>
  <c r="F33" i="10" s="1"/>
  <c r="F103" i="9"/>
  <c r="F89" i="9"/>
  <c r="F86" i="11" l="1"/>
  <c r="F88" i="39"/>
  <c r="F92" i="39" s="1"/>
  <c r="F102" i="39" s="1"/>
  <c r="F88" i="38"/>
  <c r="F92" i="38" s="1"/>
  <c r="F102" i="38" s="1"/>
  <c r="F104" i="38" s="1"/>
  <c r="F105" i="38" s="1"/>
  <c r="F12" i="10" s="1"/>
  <c r="G12" i="10" s="1"/>
  <c r="F88" i="36"/>
  <c r="F92" i="36" s="1"/>
  <c r="F102" i="36" s="1"/>
  <c r="F90" i="35"/>
  <c r="F91" i="35"/>
  <c r="F89" i="35"/>
  <c r="F88" i="27"/>
  <c r="F92" i="27" s="1"/>
  <c r="F102" i="27" s="1"/>
  <c r="F104" i="27" s="1"/>
  <c r="F105" i="27" s="1"/>
  <c r="F18" i="10" s="1"/>
  <c r="G18" i="10" s="1"/>
  <c r="F88" i="23"/>
  <c r="F92" i="23" s="1"/>
  <c r="F102" i="23" s="1"/>
  <c r="F88" i="32"/>
  <c r="F92" i="32" s="1"/>
  <c r="F102" i="32" s="1"/>
  <c r="F91" i="31"/>
  <c r="F89" i="31"/>
  <c r="F90" i="31"/>
  <c r="F88" i="29"/>
  <c r="F92" i="29" s="1"/>
  <c r="F102" i="29" s="1"/>
  <c r="F88" i="28"/>
  <c r="F92" i="28" s="1"/>
  <c r="F102" i="28" s="1"/>
  <c r="F88" i="26"/>
  <c r="F92" i="26" s="1"/>
  <c r="F102" i="26" s="1"/>
  <c r="F88" i="24"/>
  <c r="F92" i="24" s="1"/>
  <c r="F102" i="24" s="1"/>
  <c r="F88" i="25"/>
  <c r="F92" i="25" s="1"/>
  <c r="F102" i="25" s="1"/>
  <c r="F91" i="18"/>
  <c r="F95" i="18" s="1"/>
  <c r="F105" i="18" s="1"/>
  <c r="F88" i="17"/>
  <c r="F92" i="17" s="1"/>
  <c r="F102" i="17" s="1"/>
  <c r="F90" i="16"/>
  <c r="F89" i="16"/>
  <c r="F33" i="7"/>
  <c r="E32" i="10"/>
  <c r="F32" i="7"/>
  <c r="F97" i="7"/>
  <c r="F90" i="9"/>
  <c r="F94" i="9" s="1"/>
  <c r="F94" i="36" l="1"/>
  <c r="F103" i="36" s="1"/>
  <c r="F104" i="36" s="1"/>
  <c r="F94" i="39"/>
  <c r="F103" i="39" s="1"/>
  <c r="F104" i="39" s="1"/>
  <c r="F105" i="39" s="1"/>
  <c r="F13" i="10" s="1"/>
  <c r="F88" i="35"/>
  <c r="F92" i="35" s="1"/>
  <c r="F102" i="35" s="1"/>
  <c r="F104" i="35" s="1"/>
  <c r="F94" i="28"/>
  <c r="F103" i="28" s="1"/>
  <c r="F104" i="28" s="1"/>
  <c r="F105" i="28" s="1"/>
  <c r="F19" i="10" s="1"/>
  <c r="F94" i="32"/>
  <c r="F103" i="32" s="1"/>
  <c r="F104" i="32" s="1"/>
  <c r="F105" i="32" s="1"/>
  <c r="F23" i="10" s="1"/>
  <c r="F94" i="26"/>
  <c r="F103" i="26" s="1"/>
  <c r="F104" i="26" s="1"/>
  <c r="F105" i="26" s="1"/>
  <c r="F17" i="10" s="1"/>
  <c r="F94" i="17"/>
  <c r="F103" i="17" s="1"/>
  <c r="F104" i="17" s="1"/>
  <c r="F105" i="17" s="1"/>
  <c r="F10" i="10" s="1"/>
  <c r="F94" i="30"/>
  <c r="F103" i="30" s="1"/>
  <c r="F104" i="30" s="1"/>
  <c r="F105" i="30" s="1"/>
  <c r="F21" i="10" s="1"/>
  <c r="F94" i="7"/>
  <c r="F103" i="7" s="1"/>
  <c r="F94" i="24"/>
  <c r="F103" i="24" s="1"/>
  <c r="F104" i="24" s="1"/>
  <c r="F105" i="24" s="1"/>
  <c r="F15" i="10" s="1"/>
  <c r="F107" i="18"/>
  <c r="F108" i="18" s="1"/>
  <c r="F11" i="10" s="1"/>
  <c r="G11" i="10" s="1"/>
  <c r="F104" i="29"/>
  <c r="F105" i="29" s="1"/>
  <c r="F20" i="10" s="1"/>
  <c r="G20" i="10" s="1"/>
  <c r="F104" i="23"/>
  <c r="F105" i="23" s="1"/>
  <c r="F14" i="10" s="1"/>
  <c r="G14" i="10" s="1"/>
  <c r="F104" i="25"/>
  <c r="F105" i="25" s="1"/>
  <c r="F16" i="10" s="1"/>
  <c r="G16" i="10" s="1"/>
  <c r="F88" i="31"/>
  <c r="F92" i="31" s="1"/>
  <c r="F102" i="31" s="1"/>
  <c r="F88" i="16"/>
  <c r="F92" i="16" s="1"/>
  <c r="F102" i="16" s="1"/>
  <c r="F34" i="7"/>
  <c r="F93" i="9"/>
  <c r="F92" i="9"/>
  <c r="G21" i="10" l="1"/>
  <c r="G10" i="10"/>
  <c r="G17" i="10"/>
  <c r="G23" i="10"/>
  <c r="G19" i="10"/>
  <c r="G13" i="10"/>
  <c r="G15" i="10"/>
  <c r="F58" i="7"/>
  <c r="F105" i="35"/>
  <c r="F25" i="10" s="1"/>
  <c r="G25" i="10" s="1"/>
  <c r="F105" i="36"/>
  <c r="F26" i="10" s="1"/>
  <c r="F104" i="31"/>
  <c r="F105" i="31" s="1"/>
  <c r="F22" i="10" s="1"/>
  <c r="G22" i="10" s="1"/>
  <c r="F104" i="16"/>
  <c r="F105" i="16" s="1"/>
  <c r="F9" i="10" s="1"/>
  <c r="G9" i="10" s="1"/>
  <c r="F41" i="7"/>
  <c r="F44" i="7"/>
  <c r="F38" i="7"/>
  <c r="F43" i="7"/>
  <c r="F37" i="7"/>
  <c r="F42" i="7"/>
  <c r="F39" i="7"/>
  <c r="F40" i="7"/>
  <c r="F74" i="2"/>
  <c r="F70" i="2"/>
  <c r="D31" i="10" s="1"/>
  <c r="D33" i="10" s="1"/>
  <c r="G26" i="10" l="1"/>
  <c r="F56" i="7"/>
  <c r="F45" i="7"/>
  <c r="F86" i="2"/>
  <c r="F100" i="2"/>
  <c r="F57" i="7" l="1"/>
  <c r="F59" i="7" s="1"/>
  <c r="F73" i="7" s="1"/>
  <c r="F98" i="7"/>
  <c r="F82" i="7"/>
  <c r="F101" i="7" s="1"/>
  <c r="F87" i="2"/>
  <c r="F89" i="2" s="1"/>
  <c r="F65" i="7" l="1"/>
  <c r="F74" i="7"/>
  <c r="F68" i="7"/>
  <c r="F69" i="7"/>
  <c r="F67" i="7"/>
  <c r="F66" i="7"/>
  <c r="F64" i="7"/>
  <c r="F99" i="7"/>
  <c r="F90" i="2"/>
  <c r="F91" i="2"/>
  <c r="F70" i="7" l="1"/>
  <c r="F86" i="7" s="1"/>
  <c r="F87" i="7" s="1"/>
  <c r="F91" i="7" s="1"/>
  <c r="F88" i="2"/>
  <c r="F92" i="2" s="1"/>
  <c r="F102" i="2" s="1"/>
  <c r="F104" i="2" l="1"/>
  <c r="F105" i="2" s="1"/>
  <c r="F100" i="7"/>
  <c r="E31" i="10"/>
  <c r="E33" i="10" s="1"/>
  <c r="F89" i="7"/>
  <c r="F90" i="7"/>
  <c r="F91" i="9"/>
  <c r="F95" i="9" s="1"/>
  <c r="F105" i="9" s="1"/>
  <c r="F107" i="9" s="1"/>
  <c r="F6" i="10" l="1"/>
  <c r="G6" i="10" s="1"/>
  <c r="D38" i="10"/>
  <c r="D40" i="10" s="1"/>
  <c r="D42" i="10" s="1"/>
  <c r="F108" i="9"/>
  <c r="F88" i="7"/>
  <c r="F38" i="10" l="1"/>
  <c r="F8" i="10"/>
  <c r="G8" i="10" s="1"/>
  <c r="F92" i="7"/>
  <c r="F102" i="7" s="1"/>
  <c r="F104" i="7" s="1"/>
  <c r="F40" i="10" l="1"/>
  <c r="F42" i="10" s="1"/>
  <c r="F105" i="7"/>
  <c r="E38" i="10" l="1"/>
  <c r="E40" i="10" s="1"/>
  <c r="F7" i="10"/>
  <c r="G7" i="10" l="1"/>
  <c r="G27" i="10" s="1"/>
  <c r="E42" i="10"/>
</calcChain>
</file>

<file path=xl/comments1.xml><?xml version="1.0" encoding="utf-8"?>
<comments xmlns="http://schemas.openxmlformats.org/spreadsheetml/2006/main">
  <authors>
    <author>Dalcimar</author>
  </authors>
  <commentList>
    <comment ref="F85" authorId="0">
      <text>
        <r>
          <rPr>
            <sz val="9"/>
            <color indexed="81"/>
            <rFont val="Tahoma"/>
            <family val="2"/>
          </rPr>
          <t>Na CCT fala que o trabalhador escalado no dia 25/05, no regime 12x36 diurno, recebe 12h</t>
        </r>
      </text>
    </comment>
    <comment ref="F86" authorId="0">
      <text>
        <r>
          <rPr>
            <sz val="9"/>
            <color indexed="81"/>
            <rFont val="Tahoma"/>
            <family val="2"/>
          </rPr>
          <t>O trabalhador noturno recebe 8h do dia anterior (24/05) e 5h28m do dia do vigilante. (28minutos = 0,47horas)</t>
        </r>
      </text>
    </comment>
    <comment ref="F87" authorId="0">
      <text>
        <r>
          <rPr>
            <sz val="9"/>
            <color indexed="81"/>
            <rFont val="Tahoma"/>
            <family val="2"/>
          </rPr>
          <t>A jornada de 44h é a de 8h48m por 5 dias. (48 minutos = 0,8 horas)</t>
        </r>
      </text>
    </comment>
  </commentList>
</comments>
</file>

<file path=xl/comments2.xml><?xml version="1.0" encoding="utf-8"?>
<comments xmlns="http://schemas.openxmlformats.org/spreadsheetml/2006/main">
  <authors>
    <author>Dalcimar</author>
  </authors>
  <commentList>
    <comment ref="F48" authorId="0">
      <text>
        <r>
          <rPr>
            <b/>
            <sz val="9"/>
            <color indexed="81"/>
            <rFont val="Tahoma"/>
            <family val="2"/>
          </rPr>
          <t>Tarifa de ônibus= 3,00</t>
        </r>
      </text>
    </comment>
  </commentList>
</comments>
</file>

<file path=xl/comments3.xml><?xml version="1.0" encoding="utf-8"?>
<comments xmlns="http://schemas.openxmlformats.org/spreadsheetml/2006/main">
  <authors>
    <author>Dalcimar</author>
  </authors>
  <commentList>
    <comment ref="F48" authorId="0">
      <text>
        <r>
          <rPr>
            <sz val="9"/>
            <color indexed="81"/>
            <rFont val="Tahoma"/>
            <family val="2"/>
          </rPr>
          <t>Redenção não possui ônibus municipal, foi considerado o valor da tarifa de Belém (3,60).</t>
        </r>
      </text>
    </comment>
  </commentList>
</comments>
</file>

<file path=xl/comments4.xml><?xml version="1.0" encoding="utf-8"?>
<comments xmlns="http://schemas.openxmlformats.org/spreadsheetml/2006/main">
  <authors>
    <author>Dalcimar</author>
  </authors>
  <commentList>
    <comment ref="F48" authorId="0">
      <text>
        <r>
          <rPr>
            <sz val="9"/>
            <color indexed="81"/>
            <rFont val="Tahoma"/>
            <family val="2"/>
          </rPr>
          <t>Tarifa de ônibus= 3,50</t>
        </r>
      </text>
    </comment>
  </commentList>
</comments>
</file>

<file path=xl/comments5.xml><?xml version="1.0" encoding="utf-8"?>
<comments xmlns="http://schemas.openxmlformats.org/spreadsheetml/2006/main">
  <authors>
    <author>Dalcimar</author>
  </authors>
  <commentList>
    <comment ref="F48" authorId="0">
      <text>
        <r>
          <rPr>
            <sz val="9"/>
            <color indexed="81"/>
            <rFont val="Tahoma"/>
            <family val="2"/>
          </rPr>
          <t>Tarifa de ônibus= 3,60</t>
        </r>
      </text>
    </comment>
  </commentList>
</comments>
</file>

<file path=xl/comments6.xml><?xml version="1.0" encoding="utf-8"?>
<comments xmlns="http://schemas.openxmlformats.org/spreadsheetml/2006/main">
  <authors>
    <author>Dalcimar</author>
  </authors>
  <commentList>
    <comment ref="F48" authorId="0">
      <text>
        <r>
          <rPr>
            <sz val="9"/>
            <color indexed="81"/>
            <rFont val="Tahoma"/>
            <family val="2"/>
          </rPr>
          <t>A cidade de Itaituba não possui ônibus municipal. Portanto, foi utilizado o valor de VT de Belém.</t>
        </r>
      </text>
    </comment>
  </commentList>
</comments>
</file>

<file path=xl/comments7.xml><?xml version="1.0" encoding="utf-8"?>
<comments xmlns="http://schemas.openxmlformats.org/spreadsheetml/2006/main">
  <authors>
    <author>Dalcimar</author>
  </authors>
  <commentList>
    <comment ref="F48" authorId="0">
      <text>
        <r>
          <rPr>
            <sz val="9"/>
            <color indexed="81"/>
            <rFont val="Tahoma"/>
            <family val="2"/>
          </rPr>
          <t>Tarifa de ônibus= 3,00</t>
        </r>
      </text>
    </comment>
  </commentList>
</comments>
</file>

<file path=xl/sharedStrings.xml><?xml version="1.0" encoding="utf-8"?>
<sst xmlns="http://schemas.openxmlformats.org/spreadsheetml/2006/main" count="3741" uniqueCount="313">
  <si>
    <t>Insumos Diversos</t>
  </si>
  <si>
    <t>%</t>
  </si>
  <si>
    <t>A</t>
  </si>
  <si>
    <t>B</t>
  </si>
  <si>
    <t>C</t>
  </si>
  <si>
    <t>D</t>
  </si>
  <si>
    <t>E</t>
  </si>
  <si>
    <t>F</t>
  </si>
  <si>
    <t>MÓDULO 1: COMPOSIÇÃO DA REMUNERAÇÃO</t>
  </si>
  <si>
    <t>Composição da Remuneração</t>
  </si>
  <si>
    <t>G</t>
  </si>
  <si>
    <t>H</t>
  </si>
  <si>
    <t>I</t>
  </si>
  <si>
    <t>Valor (R$)</t>
  </si>
  <si>
    <t>Benefícios Mensais e Diários</t>
  </si>
  <si>
    <t>Transporte</t>
  </si>
  <si>
    <t>Uniformes</t>
  </si>
  <si>
    <t>Valor    (R$)</t>
  </si>
  <si>
    <t>4.1</t>
  </si>
  <si>
    <t>4.2</t>
  </si>
  <si>
    <t>Custos Indiretos, Tributos e Lucro</t>
  </si>
  <si>
    <t>Tributos</t>
  </si>
  <si>
    <t>QUADRO RESUMO - VALOR MENSAL DOS SERVIÇOS</t>
  </si>
  <si>
    <t>PIS</t>
  </si>
  <si>
    <t>Cofins</t>
  </si>
  <si>
    <t>ISS</t>
  </si>
  <si>
    <t>II</t>
  </si>
  <si>
    <t>III</t>
  </si>
  <si>
    <t>Tipo de Serviço</t>
  </si>
  <si>
    <t>ITEM</t>
  </si>
  <si>
    <t>VALOR TOTAL POR POSTO</t>
  </si>
  <si>
    <t>Valor por posto (R$)     (B)</t>
  </si>
  <si>
    <t>Lucro</t>
  </si>
  <si>
    <t>Nº do Processo (X.XX.XXX.XXXXXX/XXXX-XX)</t>
  </si>
  <si>
    <t>Modalidade de Licitação nº (XX/AAAA)</t>
  </si>
  <si>
    <t>Pregão nº</t>
  </si>
  <si>
    <t>Local de Execução (Sede, Anexo I ou II, PTM, PRM)</t>
  </si>
  <si>
    <t>Acordo, Conv. ou Sentença Normativa em Dissídio Coletivo (MM/AAAA)</t>
  </si>
  <si>
    <t>Frequência</t>
  </si>
  <si>
    <t>Diária</t>
  </si>
  <si>
    <t>PLANILHA DE CUSTOS E FORMAÇÃO DE PREÇOS</t>
  </si>
  <si>
    <t>INSS</t>
  </si>
  <si>
    <t>INCRA</t>
  </si>
  <si>
    <t>Salário Educação</t>
  </si>
  <si>
    <t>FGTS</t>
  </si>
  <si>
    <t>SEBRAE</t>
  </si>
  <si>
    <t>TOTAL</t>
  </si>
  <si>
    <t>13º Salário</t>
  </si>
  <si>
    <t>Provisão para Rescisão</t>
  </si>
  <si>
    <t>Aviso Prévio Indenizado</t>
  </si>
  <si>
    <t>Aviso Prévio Trabalhado</t>
  </si>
  <si>
    <t>Custo de Reposição do Profissional Ausente</t>
  </si>
  <si>
    <t>EMPREGADOS POR POSTO</t>
  </si>
  <si>
    <t>QUADRO RESUMO - CUSTO POR EMPREGADO</t>
  </si>
  <si>
    <t>CUSTOS REFERENTES AO POSTO 12X36 HORAS - DIURNO</t>
  </si>
  <si>
    <t>CUSTOS REFERENTES AO POSTO 12X36 HORAS - NOTURNO</t>
  </si>
  <si>
    <t>CUSTOS REFERENTES AO POSTO 44 HORAS</t>
  </si>
  <si>
    <t>DATA:</t>
  </si>
  <si>
    <t>DISCRIMINAÇÃO DOS SERVIÇOS (DADOS REFERENTES À CONTRATAÇÃO)</t>
  </si>
  <si>
    <t>Classificação Brasileira de Ocupações (CBO)</t>
  </si>
  <si>
    <t>Tipo de Serviço (mesmo serviço com características distintas)</t>
  </si>
  <si>
    <t>Categoria Profissional (vinculada à execução contratual)</t>
  </si>
  <si>
    <t>Data-Base da Categoria (DD/MM/AAAA)</t>
  </si>
  <si>
    <t>Data de Apresentação da Proposta (DD/MM/AAAA)</t>
  </si>
  <si>
    <t>Número de Meses de Execução Contratual</t>
  </si>
  <si>
    <t>MÓDULO 2: ENCARGOS E BENEFÍCIOS ANUAIS, MENSAIS E DIÁRIOS</t>
  </si>
  <si>
    <t>2.1</t>
  </si>
  <si>
    <t>Submódulo 2.1 - 13º (décimo terceiro) Salário, Férias e Adicional de Férias</t>
  </si>
  <si>
    <t>Submódulo 2.2 - Encargos Previdencários (GPS), Fundo de Garantia por Tempo de Serviço (FGTS) e Outras Contribuições</t>
  </si>
  <si>
    <t>2.2</t>
  </si>
  <si>
    <t>Auxílio-Refeição/Alimentação</t>
  </si>
  <si>
    <t>Submódulo 2.3 - Benefícios Mensais e Diários</t>
  </si>
  <si>
    <t>MÓDULO 3: PROVISÃO PARA RESCISÃO</t>
  </si>
  <si>
    <t>MÓDULO 4: CUSTO DE REPOSIÇÃO DO PROFISSIONAL AUSENTE</t>
  </si>
  <si>
    <t>Submódulo 4.2 - Intrajornada</t>
  </si>
  <si>
    <t>Intrajornada</t>
  </si>
  <si>
    <t>MÓDULO 6: CUSTOS INDIRETOS, TRIBUTOS E LUCRO</t>
  </si>
  <si>
    <t>MÓDULO 5: INSUMOS DIVERSOS</t>
  </si>
  <si>
    <t>Custos Indiretos</t>
  </si>
  <si>
    <t>C.1</t>
  </si>
  <si>
    <t>C.2</t>
  </si>
  <si>
    <t>C.3</t>
  </si>
  <si>
    <t>Adicional de Periculosidade (em %)</t>
  </si>
  <si>
    <t>Adicional Noturno</t>
  </si>
  <si>
    <t>Adicional Noturno (em %)</t>
  </si>
  <si>
    <t>Quantidade de Postos</t>
  </si>
  <si>
    <t>Outros (Especificar)</t>
  </si>
  <si>
    <t>Adicional de Hora Noturna Reduzida (em %)</t>
  </si>
  <si>
    <t>SESC</t>
  </si>
  <si>
    <t>SENAC</t>
  </si>
  <si>
    <t>2.3</t>
  </si>
  <si>
    <t>Salário-Base (em R$)</t>
  </si>
  <si>
    <t>Salário-Base</t>
  </si>
  <si>
    <t>13º Salário e Adicional de Férias</t>
  </si>
  <si>
    <t>Adicional de Periculosidade</t>
  </si>
  <si>
    <t>Adicional de Férias</t>
  </si>
  <si>
    <t>Encargos Previdenciários (GPS), Fundo de Garantia por Tempo de Serviço (FGTS) e outras contribuições</t>
  </si>
  <si>
    <t>Dados referentes à licitação</t>
  </si>
  <si>
    <t>MÓD.</t>
  </si>
  <si>
    <t>Mão-de-obra vinculada à execução contratual (valor por empregado)</t>
  </si>
  <si>
    <t>Encargos e Benefícios Anuais, Mensais e Diários</t>
  </si>
  <si>
    <t>VALOR TOTAL DO EMPREGADO</t>
  </si>
  <si>
    <t>Submódulo 4.1 - Substituto nas Ausências Legais</t>
  </si>
  <si>
    <t>Substituto nas Ausências Legais</t>
  </si>
  <si>
    <t xml:space="preserve">Substituto na Cobertura de Férias 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</si>
  <si>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</si>
  <si>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</si>
  <si>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</si>
  <si>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</si>
  <si>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Intervalo para Repouso e Alimentação</t>
  </si>
  <si>
    <t>Submódulo 2.1 - 13º (décimo terceiro) Salário e Adicional de Férias</t>
  </si>
  <si>
    <t>CUSTOS REFERENTES A SERVIÇOS DE VIGILÂNCIA</t>
  </si>
  <si>
    <t>Dados referentes à contratação</t>
  </si>
  <si>
    <t>Data / Horário</t>
  </si>
  <si>
    <t>Identificação do serviço</t>
  </si>
  <si>
    <t>Unidade de Medida</t>
  </si>
  <si>
    <t>Qtde Total a Contratar</t>
  </si>
  <si>
    <t>Mão de obra</t>
  </si>
  <si>
    <t>Dias no Ano</t>
  </si>
  <si>
    <t>Dias na Semana</t>
  </si>
  <si>
    <t>Hora Normal (em minutos)</t>
  </si>
  <si>
    <t>Hora Noturna (em minutos)</t>
  </si>
  <si>
    <t>Valor / %</t>
  </si>
  <si>
    <t>Valor (em R$)</t>
  </si>
  <si>
    <t>Divisor de Horas (em horas)</t>
  </si>
  <si>
    <t xml:space="preserve">Meses no Ano </t>
  </si>
  <si>
    <t>Hora Extra (em %)</t>
  </si>
  <si>
    <t>Empregados que recebem aviso prévio indenizado (em %)</t>
  </si>
  <si>
    <t>Multa do FGTS (em %)</t>
  </si>
  <si>
    <t>Empregados que recebem aviso prévio trabalhado (em %)</t>
  </si>
  <si>
    <t>Dias de Ausências Legais</t>
  </si>
  <si>
    <t>Dias de Licença-Paternidade</t>
  </si>
  <si>
    <t>Nascidos Vivos / População Feminina (em %)</t>
  </si>
  <si>
    <t>Participação Masculina nos Serviços de Vigilância (em %)</t>
  </si>
  <si>
    <t>Tempo de Intervalo para Refeição (em minutos)</t>
  </si>
  <si>
    <t>Empregados afastados por acidente de trabalho (em %)</t>
  </si>
  <si>
    <t>Dias de Licença-Maternidade</t>
  </si>
  <si>
    <t>Participação Feminina nos Serviços de Vigilância (em %)</t>
  </si>
  <si>
    <t>Vigilância</t>
  </si>
  <si>
    <t>Salário Mínimo vigente no país (em R$)</t>
  </si>
  <si>
    <t>Dias no mês</t>
  </si>
  <si>
    <t>Dias pagos pela empresa em acidentes de trabalho</t>
  </si>
  <si>
    <t>Mensal</t>
  </si>
  <si>
    <t>Média Anual de Dias Trabalhados no Mês</t>
  </si>
  <si>
    <t>Desconto Remuneração Transporte</t>
  </si>
  <si>
    <t>Dias Trabalhados 12 x 36 horas</t>
  </si>
  <si>
    <t>Dias Trabalhados 44 horas</t>
  </si>
  <si>
    <t>Conta</t>
  </si>
  <si>
    <t>Qtde de postos
(A)</t>
  </si>
  <si>
    <t>Valor total do serviço (R$)          C = (AxB)</t>
  </si>
  <si>
    <t>Remuneração (B)</t>
  </si>
  <si>
    <t>Total de Encargos Sociais e Trabalhistas (A)*</t>
  </si>
  <si>
    <t>* Submódulo 2.1 + Submódulo 2.2 + Módulo 3 + Submódulo 4.1</t>
  </si>
  <si>
    <t>QUADRO RESUMO - ENCARGOS SOCIAIS E TRABALHISTAS EFETIVOS</t>
  </si>
  <si>
    <t>UF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</si>
  <si>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</si>
  <si>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</si>
  <si>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</si>
  <si>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</si>
  <si>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</si>
  <si>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</si>
  <si>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</si>
  <si>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</si>
  <si>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</si>
  <si>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</si>
  <si>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</si>
  <si>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</si>
  <si>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</si>
  <si>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</si>
  <si>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</si>
  <si>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</si>
  <si>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</si>
  <si>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</si>
  <si>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</si>
  <si>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</si>
  <si>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</si>
  <si>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</si>
  <si>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</si>
  <si>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</si>
  <si>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</si>
  <si>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</si>
  <si>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</si>
  <si>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Unidade da Federação</t>
  </si>
  <si>
    <t>LIMITES PARA CONTRATAÇÃO, CONFORME PORTARIAS SEGES/ME</t>
  </si>
  <si>
    <t>Valor do posto (em R$)</t>
  </si>
  <si>
    <t>em R$</t>
  </si>
  <si>
    <t>Local da Execução dos Serviços</t>
  </si>
  <si>
    <t>Posto</t>
  </si>
  <si>
    <t>Item</t>
  </si>
  <si>
    <t>LIMITE MÍNIMO</t>
  </si>
  <si>
    <t>LIMITE MÁXIMO</t>
  </si>
  <si>
    <t>Limite mínimo estabelecido por portaria da Seges (em R$)</t>
  </si>
  <si>
    <t>Limite máximo estabelecido por portaria da Seges (em R$)</t>
  </si>
  <si>
    <t>O valor estimado está ACIMA DO VALOR MÍNIMO estabelecido em portaria da Seges para a respectiva unidade da federação?</t>
  </si>
  <si>
    <t>O valor estimado está ABAIXO DO VALOR MÁXIMO estabelecido em portaria da Seges para a respectiva unidade da federação?</t>
  </si>
  <si>
    <t>MÉDIA</t>
  </si>
  <si>
    <t>MENOR VALOR</t>
  </si>
  <si>
    <t>MAIOR VALOR</t>
  </si>
  <si>
    <t>XX/XX/20XX</t>
  </si>
  <si>
    <t>XX/20XX</t>
  </si>
  <si>
    <t>HH:MM</t>
  </si>
  <si>
    <t>Outras Ausências (Especificar - em %)</t>
  </si>
  <si>
    <t>OBSERVAÇÃO</t>
  </si>
  <si>
    <t>A PARTIR DE</t>
  </si>
  <si>
    <t>Atualizado em 20/08/2019</t>
  </si>
  <si>
    <t>CUSTOS POR EMPREGADO</t>
  </si>
  <si>
    <t>Encargos Sociais e Trabalhistas Efetivos (C = A / B)</t>
  </si>
  <si>
    <t>5173-30</t>
  </si>
  <si>
    <t>Vigilante</t>
  </si>
  <si>
    <t>DADOS ESTATÍSTICOS</t>
  </si>
  <si>
    <t>ENCARGOS SOCIAIS E TRABALHISTAS</t>
  </si>
  <si>
    <t>Vigilantes demitidos sem justa causa / Total de desligamentos (em %)</t>
  </si>
  <si>
    <t>Memória de Cálculo</t>
  </si>
  <si>
    <t>(1/12) x 100</t>
  </si>
  <si>
    <t>[(1/3)/12] x 100</t>
  </si>
  <si>
    <t>[(62,93%) x 5,55% x (1/12)] x 100</t>
  </si>
  <si>
    <t xml:space="preserve">(1/12) x 100 </t>
  </si>
  <si>
    <t>[(8/30)/12] x 100</t>
  </si>
  <si>
    <t>[(15/30)/12] x 0,44%} x 100</t>
  </si>
  <si>
    <t>{[(20/30)/12] x 1,416% x 86,46%} x 100</t>
  </si>
  <si>
    <t>{[(180/30)/12] x 1,416% x 13,54% x 36,80%} x 100</t>
  </si>
  <si>
    <t>% / Minutos</t>
  </si>
  <si>
    <t>Para mais informações, consulte o Referencial Técnico de Custos, constante da aba PUBLICAÇÕES, na página da Auditoria Interna do MPU na internet (www.auditoria.mpu.mp.br).</t>
  </si>
  <si>
    <t>Nº do Processo</t>
  </si>
  <si>
    <t>Modalidade de Licitação</t>
  </si>
  <si>
    <t>Substituto na Intrajornada</t>
  </si>
  <si>
    <t>Submódulo 4.2 - Substituto na Intrajornada</t>
  </si>
  <si>
    <t>Dias / Horas / Minutos</t>
  </si>
  <si>
    <t>Dias / %</t>
  </si>
  <si>
    <t>Minutos / %</t>
  </si>
  <si>
    <t>[(62,93%) x 94,45% x (7/30)/12] x 100</t>
  </si>
  <si>
    <t>1,16% x 40%  x 8,00% x 100</t>
  </si>
  <si>
    <t>Multa do FGTS sobre o Aviso Prévio Trabalhado</t>
  </si>
  <si>
    <t>1.23.000.000855/2020-32</t>
  </si>
  <si>
    <t>Seguro de vida</t>
  </si>
  <si>
    <t>CCT 2020/2021</t>
  </si>
  <si>
    <t>SAT</t>
  </si>
  <si>
    <t>DSR - Adicional noturno - 1/6</t>
  </si>
  <si>
    <t>1% descontado do trabalhador</t>
  </si>
  <si>
    <t>DSR - Hora noturna reduzida - 1/6</t>
  </si>
  <si>
    <t>Auxílio saúde</t>
  </si>
  <si>
    <t>Auxílio morte/funeral</t>
  </si>
  <si>
    <t>RAMO: MINISTÉRIO PÚBLIC FEDERAL</t>
  </si>
  <si>
    <t>UNIDADE GESTORA (SIGLA): PR-PA</t>
  </si>
  <si>
    <t>IV</t>
  </si>
  <si>
    <t>V</t>
  </si>
  <si>
    <t>VI</t>
  </si>
  <si>
    <t>VII</t>
  </si>
  <si>
    <t>VIII</t>
  </si>
  <si>
    <t>X</t>
  </si>
  <si>
    <t>XI</t>
  </si>
  <si>
    <t>XII</t>
  </si>
  <si>
    <t>XIII</t>
  </si>
  <si>
    <t>XIV</t>
  </si>
  <si>
    <t>XV</t>
  </si>
  <si>
    <t>XVI</t>
  </si>
  <si>
    <t>XVII</t>
  </si>
  <si>
    <t>XVIII</t>
  </si>
  <si>
    <t>XIX</t>
  </si>
  <si>
    <t>Equipamentos individuais</t>
  </si>
  <si>
    <t>Equipamentos por posto</t>
  </si>
  <si>
    <t>Indenização: Dia do Vigilante - 25 de maio</t>
  </si>
  <si>
    <t>Dia do Vigilante - Clausula 82ª CCT - Jornada 44h</t>
  </si>
  <si>
    <t>Dia do Vigilante - Clausula 82ª CCT - Jornada 12x36 diurno</t>
  </si>
  <si>
    <t>Dia do Vigilante - Clausula 82ª CCT - Jornada 12x36 noturno</t>
  </si>
  <si>
    <t>Subseção JF-Castanhal</t>
  </si>
  <si>
    <t>SEDE PR-PA / JF - Belém</t>
  </si>
  <si>
    <t>PRM / JF -SANTARÉM</t>
  </si>
  <si>
    <t>PRM / JF -Redenção</t>
  </si>
  <si>
    <t>PRM / JF -PARAGOMINAS</t>
  </si>
  <si>
    <t>PRM / JF -Marabá</t>
  </si>
  <si>
    <t>PRM / JF -Altamira</t>
  </si>
  <si>
    <t>XX</t>
  </si>
  <si>
    <t>XXI</t>
  </si>
  <si>
    <t>IX</t>
  </si>
  <si>
    <t>PRM / JF - Tucuruí</t>
  </si>
  <si>
    <t>PRM / JF -Itaituba</t>
  </si>
  <si>
    <t>PRM / JF - Itaituba</t>
  </si>
  <si>
    <t>VALOR MENSAL DOS SERVIÇOS (I + (...) + XXI)</t>
  </si>
  <si>
    <t>MOD_1_REMUNERACAO_12X36_DIU/220)*12 (horas) *2 (R$ em dobro) /12 (1 parcela por mês)/2 (quantidade de funcionários por posto)</t>
  </si>
  <si>
    <t>(MOD_1_REMUNERACAO_12X36_NOT/220)*13,47*2/12/2</t>
  </si>
  <si>
    <t>(MOD_1_REMUNERACAO_44H/220)*8,8*2/12)</t>
  </si>
  <si>
    <t>Tempo de Intervalo para Refeição (em minutos) 12x36h</t>
  </si>
  <si>
    <t>Tempo de Intervalo para Refeição (em minutos) 44h</t>
  </si>
  <si>
    <t>c</t>
  </si>
  <si>
    <t>Equipamentos/Materiais por posto</t>
  </si>
  <si>
    <t>Equipamentos de proteção individual</t>
  </si>
  <si>
    <t>Vigilância 12x36 horas - diurno - BEL</t>
  </si>
  <si>
    <t>Vigilância 12x36 horas - noturno - BEL</t>
  </si>
  <si>
    <t>Vigilância 44 horas semanais - BEL</t>
  </si>
  <si>
    <t>Vigilância 12x36 horas - diurno - STM</t>
  </si>
  <si>
    <t>Vigilância 12x36 horas - noturno - STM</t>
  </si>
  <si>
    <t>Vigilância 44 horas semanais - STM</t>
  </si>
  <si>
    <t>Vigilância 12x36 horas - noturno - TUU</t>
  </si>
  <si>
    <t>Vigilância 12x36 horas - diurno - TUU</t>
  </si>
  <si>
    <t>Vigilância 12x36 horas - noturno - RDO</t>
  </si>
  <si>
    <t>Vigilância 12x36 horas - diurno - RDO</t>
  </si>
  <si>
    <t>Vigilância 12x36 horas - noturno - PGN</t>
  </si>
  <si>
    <t xml:space="preserve">Vigilância 12x36 horas - diurno - PGN </t>
  </si>
  <si>
    <t>Vigilância 12x36 horas - noturno - MAB</t>
  </si>
  <si>
    <t>Vigilância 12x36 horas - diurno - MAB</t>
  </si>
  <si>
    <t>Vigilância 12x36 horas - noturno - ITA</t>
  </si>
  <si>
    <t>Vigilância 12x36 horas - diurno - ITA</t>
  </si>
  <si>
    <t>Vigilância 12x36 horas - noturno - ATM</t>
  </si>
  <si>
    <t>Vigilância 12x36 horas - diurno - ATM</t>
  </si>
  <si>
    <t>Vigilância 12x36 horas - noturno - CAT</t>
  </si>
  <si>
    <t>Vigilância 12x36 horas - diurno - CAT</t>
  </si>
  <si>
    <t>Vigilância 44 horas semanais - ATM</t>
  </si>
  <si>
    <t xml:space="preserve">TOTAL   </t>
  </si>
  <si>
    <t>Substituto na Cobertura de Intervalo para Repouso e Alimentação (12x36h)</t>
  </si>
  <si>
    <t>Substituto na Cobertura de Intervalo para Repouso e Alimentação (44h)</t>
  </si>
  <si>
    <t>[(mod1+mod2+mod3)/220]*1*15,2</t>
  </si>
  <si>
    <t>[(mod1+mod2+mod3)/220]*1*22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</si>
</sst>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_-;\-* #,##0.00_-;_-* &quot;-&quot;??_-;_-@_-"/>
    <numFmt numFmtId="164" formatCode="&quot;R$&quot;\ #,##0.00;[Red]\-&quot;R$&quot;\ #,##0.00"/>
    <numFmt numFmtId="165" formatCode="_-&quot;R$&quot;\ * #,##0.00_-;\-&quot;R$&quot;\ * #,##0.00_-;_-&quot;R$&quot;\ * &quot;-&quot;??_-;_-@_-"/>
    <numFmt numFmtId="166" formatCode="#,##0.00_ ;\-#,##0.00\ "/>
    <numFmt numFmtId="167" formatCode="#,##0.0"/>
    <numFmt numFmtId="168" formatCode="&quot;R$&quot;\ #,##0.00"/>
    <numFmt numFmtId="169" formatCode="0.000"/>
    <numFmt numFmtId="170" formatCode="_-* #,##0_-;\-* #,##0_-;_-* &quot;-&quot;??_-;_-@_-"/>
  </numFmts>
  <fonts count="46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sz val="10"/>
      <name val="Segoe UI Light"/>
      <family val="2"/>
    </font>
    <font>
      <b/>
      <sz val="16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  <font>
      <b/>
      <i/>
      <sz val="10"/>
      <name val="Segoe UI Light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FF0000"/>
      <name val="Segoe UI Light"/>
      <family val="2"/>
    </font>
    <font>
      <b/>
      <sz val="14"/>
      <color theme="0"/>
      <name val="Segoe UI Light"/>
      <family val="2"/>
    </font>
    <font>
      <i/>
      <sz val="11"/>
      <color theme="0"/>
      <name val="Segoe UI Light"/>
      <family val="2"/>
    </font>
    <font>
      <sz val="11"/>
      <color theme="0"/>
      <name val="Segoe UI Light"/>
      <family val="2"/>
    </font>
    <font>
      <sz val="7"/>
      <name val="Segoe UI Light"/>
      <family val="2"/>
    </font>
  </fonts>
  <fills count="4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26"/>
      </patternFill>
    </fill>
    <fill>
      <patternFill patternType="solid">
        <fgColor rgb="FFD55816"/>
        <bgColor indexed="41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41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rgb="FFD3D3D3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 style="thin">
        <color theme="0" tint="-4.9989318521683403E-2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49998474074526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0" tint="-0.499984740745262"/>
      </top>
      <bottom style="thin">
        <color theme="0" tint="-4.9989318521683403E-2"/>
      </bottom>
      <diagonal/>
    </border>
    <border>
      <left style="thin">
        <color theme="0" tint="-0.499984740745262"/>
      </left>
      <right/>
      <top style="thin">
        <color theme="0" tint="-4.9989318521683403E-2"/>
      </top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0.499984740745262"/>
      </bottom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0" tint="-4.9989318521683403E-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499984740745262"/>
      </right>
      <top/>
      <bottom style="thin">
        <color theme="0" tint="-4.9989318521683403E-2"/>
      </bottom>
      <diagonal/>
    </border>
    <border>
      <left style="thin">
        <color theme="0" tint="-0.49998474074526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0.49998474074526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499984740745262"/>
      </left>
      <right style="thin">
        <color theme="0" tint="-4.9989318521683403E-2"/>
      </right>
      <top style="thin">
        <color theme="0" tint="-0.499984740745262"/>
      </top>
      <bottom style="thin">
        <color theme="0" tint="-4.9989318521683403E-2"/>
      </bottom>
      <diagonal/>
    </border>
    <border>
      <left style="thin">
        <color theme="0" tint="-0.49998474074526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499984740745262"/>
      </left>
      <right style="thin">
        <color theme="0" tint="-4.9989318521683403E-2"/>
      </right>
      <top style="thin">
        <color theme="0" tint="-4.9989318521683403E-2"/>
      </top>
      <bottom style="thin">
        <color theme="0" tint="-0.499984740745262"/>
      </bottom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9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9" fillId="0" borderId="0" applyFont="0" applyFill="0" applyBorder="0" applyAlignment="0" applyProtection="0"/>
  </cellStyleXfs>
  <cellXfs count="378">
    <xf numFmtId="0" fontId="0" fillId="0" borderId="0" xfId="0"/>
    <xf numFmtId="0" fontId="27" fillId="27" borderId="10" xfId="0" applyFont="1" applyFill="1" applyBorder="1" applyAlignment="1" applyProtection="1">
      <alignment horizontal="center" vertical="center"/>
    </xf>
    <xf numFmtId="0" fontId="27" fillId="27" borderId="10" xfId="0" applyFont="1" applyFill="1" applyBorder="1" applyAlignment="1" applyProtection="1">
      <alignment horizontal="center" vertical="center" wrapText="1"/>
    </xf>
    <xf numFmtId="0" fontId="27" fillId="27" borderId="10" xfId="0" applyFont="1" applyFill="1" applyBorder="1" applyAlignment="1">
      <alignment horizontal="center" vertical="center"/>
    </xf>
    <xf numFmtId="0" fontId="27" fillId="29" borderId="10" xfId="0" applyFont="1" applyFill="1" applyBorder="1" applyAlignment="1" applyProtection="1">
      <alignment horizontal="center" vertical="center" wrapText="1"/>
    </xf>
    <xf numFmtId="3" fontId="20" fillId="30" borderId="10" xfId="0" applyNumberFormat="1" applyFont="1" applyFill="1" applyBorder="1" applyAlignment="1" applyProtection="1">
      <alignment horizontal="center" vertical="center" wrapText="1"/>
    </xf>
    <xf numFmtId="4" fontId="20" fillId="30" borderId="10" xfId="0" applyNumberFormat="1" applyFont="1" applyFill="1" applyBorder="1" applyAlignment="1" applyProtection="1">
      <alignment vertical="center" wrapText="1"/>
    </xf>
    <xf numFmtId="4" fontId="20" fillId="30" borderId="10" xfId="0" applyNumberFormat="1" applyFont="1" applyFill="1" applyBorder="1" applyAlignment="1" applyProtection="1">
      <alignment horizontal="right" vertical="center" wrapText="1"/>
    </xf>
    <xf numFmtId="3" fontId="20" fillId="31" borderId="10" xfId="0" applyNumberFormat="1" applyFont="1" applyFill="1" applyBorder="1" applyAlignment="1" applyProtection="1">
      <alignment horizontal="center" vertical="center" wrapText="1"/>
    </xf>
    <xf numFmtId="4" fontId="20" fillId="31" borderId="10" xfId="0" applyNumberFormat="1" applyFont="1" applyFill="1" applyBorder="1" applyAlignment="1" applyProtection="1">
      <alignment vertical="center" wrapText="1"/>
    </xf>
    <xf numFmtId="4" fontId="20" fillId="31" borderId="10" xfId="0" applyNumberFormat="1" applyFont="1" applyFill="1" applyBorder="1" applyAlignment="1" applyProtection="1">
      <alignment horizontal="right" vertical="center" wrapText="1"/>
    </xf>
    <xf numFmtId="0" fontId="23" fillId="24" borderId="0" xfId="0" applyFont="1" applyFill="1" applyBorder="1" applyAlignment="1" applyProtection="1"/>
    <xf numFmtId="0" fontId="23" fillId="25" borderId="0" xfId="0" applyFont="1" applyFill="1" applyBorder="1" applyAlignment="1" applyProtection="1">
      <alignment horizontal="left" vertical="center" wrapText="1"/>
    </xf>
    <xf numFmtId="0" fontId="20" fillId="25" borderId="0" xfId="0" applyFont="1" applyFill="1" applyProtection="1"/>
    <xf numFmtId="39" fontId="20" fillId="25" borderId="0" xfId="0" applyNumberFormat="1" applyFont="1" applyFill="1" applyBorder="1" applyAlignment="1" applyProtection="1">
      <alignment horizontal="right"/>
    </xf>
    <xf numFmtId="0" fontId="20" fillId="25" borderId="0" xfId="0" applyFont="1" applyFill="1" applyBorder="1" applyAlignment="1" applyProtection="1">
      <alignment horizontal="left" vertical="center" wrapText="1"/>
    </xf>
    <xf numFmtId="0" fontId="25" fillId="25" borderId="0" xfId="0" applyFont="1" applyFill="1" applyBorder="1" applyAlignment="1" applyProtection="1">
      <alignment horizontal="left" vertical="center"/>
    </xf>
    <xf numFmtId="0" fontId="20" fillId="25" borderId="0" xfId="0" applyFont="1" applyFill="1" applyBorder="1" applyProtection="1"/>
    <xf numFmtId="0" fontId="20" fillId="25" borderId="0" xfId="0" applyFont="1" applyFill="1" applyBorder="1" applyAlignment="1" applyProtection="1">
      <alignment horizontal="center"/>
    </xf>
    <xf numFmtId="0" fontId="20" fillId="26" borderId="0" xfId="0" applyFont="1" applyFill="1" applyProtection="1"/>
    <xf numFmtId="39" fontId="23" fillId="25" borderId="0" xfId="0" applyNumberFormat="1" applyFont="1" applyFill="1" applyBorder="1" applyAlignment="1" applyProtection="1">
      <alignment horizontal="center" vertical="center" wrapText="1"/>
    </xf>
    <xf numFmtId="39" fontId="20" fillId="25" borderId="0" xfId="0" applyNumberFormat="1" applyFont="1" applyFill="1" applyAlignment="1" applyProtection="1">
      <alignment horizontal="center"/>
    </xf>
    <xf numFmtId="0" fontId="23" fillId="25" borderId="0" xfId="0" applyFont="1" applyFill="1" applyBorder="1" applyAlignment="1" applyProtection="1">
      <alignment horizontal="center" vertical="center" wrapText="1"/>
    </xf>
    <xf numFmtId="39" fontId="20" fillId="25" borderId="0" xfId="0" applyNumberFormat="1" applyFont="1" applyFill="1" applyBorder="1" applyAlignment="1" applyProtection="1">
      <alignment horizontal="center" vertical="center" wrapText="1"/>
    </xf>
    <xf numFmtId="49" fontId="20" fillId="32" borderId="10" xfId="0" applyNumberFormat="1" applyFont="1" applyFill="1" applyBorder="1" applyAlignment="1" applyProtection="1">
      <alignment horizontal="center"/>
      <protection locked="0"/>
    </xf>
    <xf numFmtId="0" fontId="27" fillId="27" borderId="10" xfId="0" applyFont="1" applyFill="1" applyBorder="1" applyAlignment="1" applyProtection="1">
      <alignment horizontal="center"/>
    </xf>
    <xf numFmtId="14" fontId="20" fillId="32" borderId="10" xfId="0" applyNumberFormat="1" applyFont="1" applyFill="1" applyBorder="1" applyAlignment="1" applyProtection="1">
      <alignment horizontal="center"/>
      <protection locked="0"/>
    </xf>
    <xf numFmtId="0" fontId="20" fillId="31" borderId="10" xfId="0" applyFont="1" applyFill="1" applyBorder="1" applyAlignment="1" applyProtection="1"/>
    <xf numFmtId="0" fontId="27" fillId="25" borderId="0" xfId="0" applyFont="1" applyFill="1" applyBorder="1" applyAlignment="1" applyProtection="1">
      <alignment horizontal="center"/>
    </xf>
    <xf numFmtId="0" fontId="20" fillId="25" borderId="0" xfId="0" applyFont="1" applyFill="1" applyBorder="1" applyAlignment="1" applyProtection="1">
      <alignment horizontal="left"/>
    </xf>
    <xf numFmtId="0" fontId="31" fillId="27" borderId="10" xfId="0" applyFont="1" applyFill="1" applyBorder="1" applyAlignment="1" applyProtection="1">
      <alignment horizontal="center" vertical="center" wrapText="1"/>
    </xf>
    <xf numFmtId="39" fontId="26" fillId="31" borderId="10" xfId="0" applyNumberFormat="1" applyFont="1" applyFill="1" applyBorder="1" applyAlignment="1" applyProtection="1">
      <alignment horizontal="center" vertical="center" wrapText="1"/>
    </xf>
    <xf numFmtId="39" fontId="20" fillId="35" borderId="10" xfId="0" applyNumberFormat="1" applyFont="1" applyFill="1" applyBorder="1" applyAlignment="1" applyProtection="1">
      <alignment horizontal="right" vertical="center" wrapText="1"/>
      <protection locked="0"/>
    </xf>
    <xf numFmtId="0" fontId="32" fillId="25" borderId="0" xfId="0" applyFont="1" applyFill="1" applyBorder="1" applyAlignment="1" applyProtection="1">
      <alignment horizontal="left" vertical="center"/>
    </xf>
    <xf numFmtId="0" fontId="30" fillId="25" borderId="0" xfId="0" applyFont="1" applyFill="1" applyBorder="1" applyAlignment="1" applyProtection="1">
      <alignment horizontal="left" vertical="center" wrapText="1"/>
    </xf>
    <xf numFmtId="39" fontId="30" fillId="25" borderId="0" xfId="0" applyNumberFormat="1" applyFont="1" applyFill="1" applyBorder="1" applyAlignment="1" applyProtection="1">
      <alignment horizontal="center" vertical="center" wrapText="1"/>
    </xf>
    <xf numFmtId="39" fontId="20" fillId="31" borderId="10" xfId="0" applyNumberFormat="1" applyFont="1" applyFill="1" applyBorder="1" applyAlignment="1" applyProtection="1">
      <alignment horizontal="right" vertical="center" wrapText="1"/>
    </xf>
    <xf numFmtId="39" fontId="27" fillId="27" borderId="10" xfId="0" applyNumberFormat="1" applyFont="1" applyFill="1" applyBorder="1" applyAlignment="1" applyProtection="1">
      <alignment horizontal="right" vertical="center" wrapText="1"/>
    </xf>
    <xf numFmtId="2" fontId="20" fillId="31" borderId="10" xfId="0" applyNumberFormat="1" applyFont="1" applyFill="1" applyBorder="1" applyAlignment="1" applyProtection="1">
      <alignment horizontal="center" vertical="center"/>
    </xf>
    <xf numFmtId="2" fontId="27" fillId="27" borderId="10" xfId="0" applyNumberFormat="1" applyFont="1" applyFill="1" applyBorder="1" applyAlignment="1" applyProtection="1">
      <alignment horizontal="center" vertical="center"/>
    </xf>
    <xf numFmtId="4" fontId="27" fillId="36" borderId="10" xfId="0" applyNumberFormat="1" applyFont="1" applyFill="1" applyBorder="1" applyAlignment="1" applyProtection="1">
      <alignment horizontal="right" vertical="center" wrapText="1"/>
    </xf>
    <xf numFmtId="4" fontId="27" fillId="27" borderId="10" xfId="0" applyNumberFormat="1" applyFont="1" applyFill="1" applyBorder="1" applyAlignment="1" applyProtection="1">
      <alignment horizontal="right"/>
    </xf>
    <xf numFmtId="4" fontId="27" fillId="27" borderId="10" xfId="0" applyNumberFormat="1" applyFont="1" applyFill="1" applyBorder="1" applyAlignment="1" applyProtection="1">
      <alignment horizontal="right" vertical="center"/>
    </xf>
    <xf numFmtId="4" fontId="27" fillId="36" borderId="11" xfId="0" applyNumberFormat="1" applyFont="1" applyFill="1" applyBorder="1" applyAlignment="1" applyProtection="1">
      <alignment horizontal="right" vertical="center" wrapText="1"/>
    </xf>
    <xf numFmtId="0" fontId="27" fillId="27" borderId="11" xfId="0" applyFont="1" applyFill="1" applyBorder="1" applyAlignment="1" applyProtection="1">
      <alignment horizontal="center"/>
    </xf>
    <xf numFmtId="0" fontId="27" fillId="27" borderId="11" xfId="0" applyFont="1" applyFill="1" applyBorder="1" applyAlignment="1" applyProtection="1">
      <alignment horizontal="center" vertical="center" wrapText="1"/>
    </xf>
    <xf numFmtId="2" fontId="20" fillId="31" borderId="10" xfId="0" applyNumberFormat="1" applyFont="1" applyFill="1" applyBorder="1" applyAlignment="1" applyProtection="1">
      <alignment horizontal="center" vertical="center" wrapText="1"/>
    </xf>
    <xf numFmtId="39" fontId="20" fillId="31" borderId="11" xfId="0" applyNumberFormat="1" applyFont="1" applyFill="1" applyBorder="1" applyAlignment="1" applyProtection="1">
      <alignment horizontal="right" vertical="center" wrapText="1"/>
    </xf>
    <xf numFmtId="39" fontId="20" fillId="31" borderId="10" xfId="0" applyNumberFormat="1" applyFont="1" applyFill="1" applyBorder="1" applyAlignment="1" applyProtection="1">
      <alignment horizontal="center" vertical="center" wrapText="1"/>
    </xf>
    <xf numFmtId="0" fontId="27" fillId="27" borderId="11" xfId="0" applyFont="1" applyFill="1" applyBorder="1" applyAlignment="1" applyProtection="1">
      <alignment horizontal="center" vertical="center"/>
    </xf>
    <xf numFmtId="0" fontId="27" fillId="29" borderId="11" xfId="0" applyFont="1" applyFill="1" applyBorder="1" applyAlignment="1" applyProtection="1">
      <alignment horizontal="center" vertical="center" wrapText="1"/>
    </xf>
    <xf numFmtId="0" fontId="33" fillId="25" borderId="0" xfId="0" applyFont="1" applyFill="1" applyAlignment="1" applyProtection="1">
      <alignment horizontal="left"/>
    </xf>
    <xf numFmtId="0" fontId="34" fillId="25" borderId="0" xfId="0" applyFont="1" applyFill="1" applyBorder="1" applyAlignment="1" applyProtection="1">
      <alignment horizontal="left" vertical="center"/>
    </xf>
    <xf numFmtId="166" fontId="20" fillId="31" borderId="10" xfId="0" applyNumberFormat="1" applyFont="1" applyFill="1" applyBorder="1" applyAlignment="1" applyProtection="1">
      <alignment horizontal="center" vertical="center" wrapText="1"/>
    </xf>
    <xf numFmtId="2" fontId="20" fillId="31" borderId="11" xfId="0" applyNumberFormat="1" applyFont="1" applyFill="1" applyBorder="1" applyAlignment="1" applyProtection="1">
      <alignment horizontal="center" vertical="center"/>
    </xf>
    <xf numFmtId="2" fontId="20" fillId="31" borderId="11" xfId="0" applyNumberFormat="1" applyFont="1" applyFill="1" applyBorder="1" applyAlignment="1" applyProtection="1">
      <alignment horizontal="center" vertical="center" wrapText="1"/>
    </xf>
    <xf numFmtId="0" fontId="20" fillId="37" borderId="10" xfId="0" applyFont="1" applyFill="1" applyBorder="1" applyAlignment="1" applyProtection="1"/>
    <xf numFmtId="4" fontId="20" fillId="37" borderId="10" xfId="0" applyNumberFormat="1" applyFont="1" applyFill="1" applyBorder="1" applyAlignment="1" applyProtection="1">
      <alignment horizontal="right" vertical="center" wrapText="1"/>
    </xf>
    <xf numFmtId="39" fontId="20" fillId="37" borderId="10" xfId="0" applyNumberFormat="1" applyFont="1" applyFill="1" applyBorder="1" applyAlignment="1" applyProtection="1">
      <alignment horizontal="right" vertical="center" wrapText="1"/>
    </xf>
    <xf numFmtId="2" fontId="20" fillId="37" borderId="10" xfId="0" applyNumberFormat="1" applyFont="1" applyFill="1" applyBorder="1" applyAlignment="1" applyProtection="1">
      <alignment horizontal="center" vertical="center" wrapText="1"/>
    </xf>
    <xf numFmtId="39" fontId="20" fillId="37" borderId="11" xfId="0" applyNumberFormat="1" applyFont="1" applyFill="1" applyBorder="1" applyAlignment="1" applyProtection="1">
      <alignment horizontal="right" vertical="center" wrapText="1"/>
    </xf>
    <xf numFmtId="39" fontId="20" fillId="37" borderId="10" xfId="0" applyNumberFormat="1" applyFont="1" applyFill="1" applyBorder="1" applyAlignment="1" applyProtection="1">
      <alignment horizontal="center" vertical="center" wrapText="1"/>
    </xf>
    <xf numFmtId="39" fontId="26" fillId="37" borderId="10" xfId="0" applyNumberFormat="1" applyFont="1" applyFill="1" applyBorder="1" applyAlignment="1" applyProtection="1">
      <alignment horizontal="center" vertical="center" wrapText="1"/>
    </xf>
    <xf numFmtId="39" fontId="26" fillId="31" borderId="10" xfId="0" applyNumberFormat="1" applyFont="1" applyFill="1" applyBorder="1" applyAlignment="1" applyProtection="1">
      <alignment horizontal="right" vertical="center" wrapText="1"/>
    </xf>
    <xf numFmtId="39" fontId="26" fillId="37" borderId="10" xfId="0" applyNumberFormat="1" applyFont="1" applyFill="1" applyBorder="1" applyAlignment="1" applyProtection="1">
      <alignment horizontal="right" vertical="center" wrapText="1"/>
    </xf>
    <xf numFmtId="2" fontId="20" fillId="37" borderId="11" xfId="0" applyNumberFormat="1" applyFont="1" applyFill="1" applyBorder="1" applyAlignment="1" applyProtection="1">
      <alignment horizontal="center" vertical="center" wrapText="1"/>
    </xf>
    <xf numFmtId="0" fontId="27" fillId="27" borderId="13" xfId="0" applyFont="1" applyFill="1" applyBorder="1" applyAlignment="1" applyProtection="1">
      <alignment horizontal="center" vertical="center" wrapText="1"/>
    </xf>
    <xf numFmtId="0" fontId="20" fillId="33" borderId="10" xfId="0" applyFont="1" applyFill="1" applyBorder="1" applyAlignment="1" applyProtection="1">
      <alignment horizontal="justify" vertical="center" wrapText="1"/>
    </xf>
    <xf numFmtId="4" fontId="20" fillId="32" borderId="10" xfId="0" applyNumberFormat="1" applyFont="1" applyFill="1" applyBorder="1" applyAlignment="1" applyProtection="1">
      <alignment horizontal="right"/>
      <protection locked="0"/>
    </xf>
    <xf numFmtId="10" fontId="27" fillId="27" borderId="10" xfId="0" applyNumberFormat="1" applyFont="1" applyFill="1" applyBorder="1" applyAlignment="1" applyProtection="1">
      <alignment horizontal="center" vertical="center" wrapText="1"/>
    </xf>
    <xf numFmtId="168" fontId="20" fillId="30" borderId="10" xfId="0" applyNumberFormat="1" applyFont="1" applyFill="1" applyBorder="1" applyAlignment="1" applyProtection="1">
      <alignment horizontal="right" vertical="center" wrapText="1"/>
    </xf>
    <xf numFmtId="168" fontId="20" fillId="31" borderId="10" xfId="0" applyNumberFormat="1" applyFont="1" applyFill="1" applyBorder="1" applyAlignment="1" applyProtection="1">
      <alignment horizontal="right" vertical="center" wrapText="1"/>
    </xf>
    <xf numFmtId="0" fontId="20" fillId="32" borderId="10" xfId="0" applyFont="1" applyFill="1" applyBorder="1" applyAlignment="1" applyProtection="1">
      <alignment horizontal="center" vertical="center"/>
      <protection locked="0"/>
    </xf>
    <xf numFmtId="0" fontId="20" fillId="0" borderId="0" xfId="0" applyFont="1"/>
    <xf numFmtId="3" fontId="20" fillId="30" borderId="10" xfId="0" applyNumberFormat="1" applyFont="1" applyFill="1" applyBorder="1" applyAlignment="1" applyProtection="1">
      <alignment horizontal="left" vertical="center" wrapText="1"/>
    </xf>
    <xf numFmtId="3" fontId="20" fillId="31" borderId="10" xfId="0" applyNumberFormat="1" applyFont="1" applyFill="1" applyBorder="1" applyAlignment="1" applyProtection="1">
      <alignment horizontal="left" vertical="center" wrapText="1"/>
    </xf>
    <xf numFmtId="3" fontId="20" fillId="31" borderId="10" xfId="0" applyNumberFormat="1" applyFont="1" applyFill="1" applyBorder="1" applyAlignment="1" applyProtection="1">
      <alignment horizontal="right" vertical="center" wrapText="1"/>
    </xf>
    <xf numFmtId="167" fontId="20" fillId="31" borderId="10" xfId="0" applyNumberFormat="1" applyFont="1" applyFill="1" applyBorder="1" applyAlignment="1" applyProtection="1">
      <alignment horizontal="right" vertical="center" wrapText="1"/>
    </xf>
    <xf numFmtId="3" fontId="20" fillId="37" borderId="10" xfId="0" applyNumberFormat="1" applyFont="1" applyFill="1" applyBorder="1" applyAlignment="1" applyProtection="1">
      <alignment horizontal="right" vertical="center" wrapText="1"/>
    </xf>
    <xf numFmtId="167" fontId="20" fillId="37" borderId="10" xfId="0" applyNumberFormat="1" applyFont="1" applyFill="1" applyBorder="1" applyAlignment="1" applyProtection="1">
      <alignment horizontal="right" vertical="center" wrapText="1"/>
    </xf>
    <xf numFmtId="37" fontId="20" fillId="37" borderId="10" xfId="0" applyNumberFormat="1" applyFont="1" applyFill="1" applyBorder="1" applyAlignment="1" applyProtection="1">
      <alignment horizontal="right" vertical="center" wrapText="1"/>
    </xf>
    <xf numFmtId="37" fontId="20" fillId="31" borderId="10" xfId="0" applyNumberFormat="1" applyFont="1" applyFill="1" applyBorder="1" applyAlignment="1" applyProtection="1">
      <alignment horizontal="right" vertical="center" wrapText="1"/>
    </xf>
    <xf numFmtId="0" fontId="27" fillId="28" borderId="20" xfId="0" applyFont="1" applyFill="1" applyBorder="1" applyAlignment="1" applyProtection="1">
      <alignment horizontal="center" vertical="center" wrapText="1"/>
    </xf>
    <xf numFmtId="0" fontId="37" fillId="0" borderId="0" xfId="0" applyFont="1" applyAlignment="1">
      <alignment horizontal="right"/>
    </xf>
    <xf numFmtId="0" fontId="20" fillId="32" borderId="13" xfId="0" applyFont="1" applyFill="1" applyBorder="1" applyAlignment="1" applyProtection="1">
      <alignment horizontal="center"/>
      <protection locked="0"/>
    </xf>
    <xf numFmtId="4" fontId="20" fillId="34" borderId="10" xfId="0" applyNumberFormat="1" applyFont="1" applyFill="1" applyBorder="1" applyAlignment="1" applyProtection="1">
      <alignment horizontal="right" vertical="center" wrapText="1"/>
      <protection locked="0"/>
    </xf>
    <xf numFmtId="3" fontId="20" fillId="34" borderId="10" xfId="0" applyNumberFormat="1" applyFont="1" applyFill="1" applyBorder="1" applyAlignment="1" applyProtection="1">
      <alignment horizontal="right" vertical="center" wrapText="1"/>
      <protection locked="0"/>
    </xf>
    <xf numFmtId="39" fontId="20" fillId="34" borderId="10" xfId="0" applyNumberFormat="1" applyFont="1" applyFill="1" applyBorder="1" applyAlignment="1" applyProtection="1">
      <alignment horizontal="right" vertical="center" wrapText="1"/>
      <protection locked="0"/>
    </xf>
    <xf numFmtId="39" fontId="20" fillId="34" borderId="11" xfId="0" applyNumberFormat="1" applyFont="1" applyFill="1" applyBorder="1" applyAlignment="1" applyProtection="1">
      <alignment horizontal="right" vertical="center" wrapText="1"/>
      <protection locked="0"/>
    </xf>
    <xf numFmtId="14" fontId="27" fillId="27" borderId="10" xfId="0" applyNumberFormat="1" applyFont="1" applyFill="1" applyBorder="1" applyAlignment="1">
      <alignment horizontal="center" vertical="center"/>
    </xf>
    <xf numFmtId="4" fontId="27" fillId="27" borderId="10" xfId="0" applyNumberFormat="1" applyFont="1" applyFill="1" applyBorder="1" applyAlignment="1">
      <alignment horizontal="right" vertical="center"/>
    </xf>
    <xf numFmtId="0" fontId="34" fillId="25" borderId="0" xfId="0" applyFont="1" applyFill="1" applyBorder="1" applyAlignment="1" applyProtection="1">
      <alignment vertical="center"/>
    </xf>
    <xf numFmtId="0" fontId="21" fillId="32" borderId="13" xfId="0" applyFont="1" applyFill="1" applyBorder="1" applyAlignment="1" applyProtection="1">
      <protection locked="0"/>
    </xf>
    <xf numFmtId="39" fontId="20" fillId="34" borderId="10" xfId="0" applyNumberFormat="1" applyFont="1" applyFill="1" applyBorder="1" applyAlignment="1" applyProtection="1">
      <alignment horizontal="center" vertical="center" wrapText="1"/>
      <protection locked="0"/>
    </xf>
    <xf numFmtId="0" fontId="20" fillId="32" borderId="13" xfId="0" applyFont="1" applyFill="1" applyBorder="1" applyAlignment="1" applyProtection="1">
      <alignment horizontal="center" vertical="center" wrapText="1"/>
      <protection locked="0"/>
    </xf>
    <xf numFmtId="0" fontId="20" fillId="31" borderId="10" xfId="0" applyFont="1" applyFill="1" applyBorder="1" applyAlignment="1" applyProtection="1">
      <alignment horizontal="left" vertical="center" wrapText="1"/>
    </xf>
    <xf numFmtId="0" fontId="27" fillId="27" borderId="13" xfId="0" applyFont="1" applyFill="1" applyBorder="1" applyAlignment="1" applyProtection="1">
      <alignment horizontal="center" vertical="center"/>
    </xf>
    <xf numFmtId="0" fontId="27" fillId="27" borderId="12" xfId="0" applyFont="1" applyFill="1" applyBorder="1" applyAlignment="1" applyProtection="1">
      <alignment horizontal="center" vertical="center"/>
    </xf>
    <xf numFmtId="0" fontId="22" fillId="26" borderId="0" xfId="0" applyFont="1" applyFill="1" applyProtection="1"/>
    <xf numFmtId="0" fontId="22" fillId="26" borderId="0" xfId="0" applyFont="1" applyFill="1" applyBorder="1" applyProtection="1"/>
    <xf numFmtId="0" fontId="23" fillId="24" borderId="0" xfId="0" applyFont="1" applyFill="1" applyBorder="1" applyAlignment="1" applyProtection="1">
      <alignment horizontal="left"/>
    </xf>
    <xf numFmtId="49" fontId="20" fillId="24" borderId="0" xfId="0" applyNumberFormat="1" applyFont="1" applyFill="1" applyBorder="1" applyAlignment="1" applyProtection="1">
      <alignment horizontal="center"/>
    </xf>
    <xf numFmtId="0" fontId="20" fillId="37" borderId="10" xfId="0" applyNumberFormat="1" applyFont="1" applyFill="1" applyBorder="1" applyAlignment="1" applyProtection="1">
      <alignment horizontal="center"/>
    </xf>
    <xf numFmtId="0" fontId="22" fillId="26" borderId="0" xfId="0" applyFont="1" applyFill="1" applyAlignment="1" applyProtection="1">
      <alignment horizontal="center" vertical="center"/>
    </xf>
    <xf numFmtId="0" fontId="20" fillId="25" borderId="0" xfId="0" applyNumberFormat="1" applyFont="1" applyFill="1" applyBorder="1" applyAlignment="1" applyProtection="1">
      <alignment horizontal="center"/>
    </xf>
    <xf numFmtId="14" fontId="20" fillId="26" borderId="0" xfId="0" applyNumberFormat="1" applyFont="1" applyFill="1" applyBorder="1" applyAlignment="1" applyProtection="1">
      <alignment horizontal="center"/>
    </xf>
    <xf numFmtId="0" fontId="29" fillId="25" borderId="0" xfId="0" applyFont="1" applyFill="1" applyProtection="1"/>
    <xf numFmtId="0" fontId="28" fillId="25" borderId="0" xfId="0" applyFont="1" applyFill="1" applyProtection="1"/>
    <xf numFmtId="0" fontId="28" fillId="25" borderId="0" xfId="0" applyFont="1" applyFill="1" applyAlignment="1" applyProtection="1">
      <alignment wrapText="1"/>
    </xf>
    <xf numFmtId="0" fontId="28" fillId="25" borderId="0" xfId="0" applyFont="1" applyFill="1" applyAlignment="1" applyProtection="1">
      <alignment horizontal="center" wrapText="1"/>
    </xf>
    <xf numFmtId="0" fontId="20" fillId="25" borderId="0" xfId="0" applyFont="1" applyFill="1" applyAlignment="1" applyProtection="1">
      <alignment wrapText="1"/>
    </xf>
    <xf numFmtId="0" fontId="20" fillId="37" borderId="10" xfId="0" applyFont="1" applyFill="1" applyBorder="1" applyAlignment="1" applyProtection="1">
      <alignment horizontal="center"/>
    </xf>
    <xf numFmtId="0" fontId="20" fillId="31" borderId="10" xfId="0" applyFont="1" applyFill="1" applyBorder="1" applyAlignment="1" applyProtection="1">
      <alignment horizontal="center"/>
    </xf>
    <xf numFmtId="14" fontId="21" fillId="33" borderId="13" xfId="0" applyNumberFormat="1" applyFont="1" applyFill="1" applyBorder="1" applyAlignment="1" applyProtection="1">
      <alignment horizontal="right"/>
    </xf>
    <xf numFmtId="14" fontId="21" fillId="33" borderId="13" xfId="0" applyNumberFormat="1" applyFont="1" applyFill="1" applyBorder="1" applyAlignment="1" applyProtection="1"/>
    <xf numFmtId="0" fontId="24" fillId="25" borderId="0" xfId="0" applyFont="1" applyFill="1" applyProtection="1"/>
    <xf numFmtId="0" fontId="26" fillId="25" borderId="0" xfId="0" applyFont="1" applyFill="1" applyProtection="1"/>
    <xf numFmtId="37" fontId="20" fillId="37" borderId="10" xfId="0" applyNumberFormat="1" applyFont="1" applyFill="1" applyBorder="1" applyAlignment="1" applyProtection="1">
      <alignment horizontal="center"/>
    </xf>
    <xf numFmtId="2" fontId="20" fillId="33" borderId="10" xfId="0" applyNumberFormat="1" applyFont="1" applyFill="1" applyBorder="1" applyAlignment="1" applyProtection="1">
      <alignment horizontal="center"/>
    </xf>
    <xf numFmtId="14" fontId="20" fillId="38" borderId="10" xfId="0" applyNumberFormat="1" applyFont="1" applyFill="1" applyBorder="1" applyAlignment="1" applyProtection="1">
      <alignment horizontal="center"/>
    </xf>
    <xf numFmtId="2" fontId="20" fillId="38" borderId="10" xfId="0" applyNumberFormat="1" applyFont="1" applyFill="1" applyBorder="1" applyAlignment="1" applyProtection="1">
      <alignment horizontal="center"/>
    </xf>
    <xf numFmtId="0" fontId="20" fillId="31" borderId="10" xfId="0" applyNumberFormat="1" applyFont="1" applyFill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 vertical="center"/>
    </xf>
    <xf numFmtId="0" fontId="23" fillId="24" borderId="0" xfId="0" applyFont="1" applyFill="1" applyBorder="1" applyAlignment="1" applyProtection="1">
      <alignment horizontal="left" vertical="center"/>
    </xf>
    <xf numFmtId="0" fontId="30" fillId="25" borderId="0" xfId="0" applyFont="1" applyFill="1" applyProtection="1"/>
    <xf numFmtId="0" fontId="29" fillId="25" borderId="0" xfId="0" applyFont="1" applyFill="1" applyAlignment="1" applyProtection="1">
      <alignment vertical="top"/>
    </xf>
    <xf numFmtId="0" fontId="20" fillId="25" borderId="0" xfId="0" applyFont="1" applyFill="1" applyAlignment="1" applyProtection="1">
      <alignment vertical="top"/>
    </xf>
    <xf numFmtId="0" fontId="22" fillId="26" borderId="0" xfId="0" applyFont="1" applyFill="1" applyAlignment="1" applyProtection="1">
      <alignment vertical="top"/>
    </xf>
    <xf numFmtId="0" fontId="28" fillId="25" borderId="0" xfId="0" applyFont="1" applyFill="1" applyAlignment="1" applyProtection="1">
      <alignment horizontal="left" wrapText="1"/>
    </xf>
    <xf numFmtId="166" fontId="20" fillId="25" borderId="0" xfId="0" applyNumberFormat="1" applyFont="1" applyFill="1" applyProtection="1"/>
    <xf numFmtId="49" fontId="20" fillId="38" borderId="13" xfId="0" applyNumberFormat="1" applyFont="1" applyFill="1" applyBorder="1" applyAlignment="1" applyProtection="1">
      <alignment horizontal="center" vertical="center" wrapText="1"/>
    </xf>
    <xf numFmtId="49" fontId="20" fillId="33" borderId="13" xfId="0" applyNumberFormat="1" applyFont="1" applyFill="1" applyBorder="1" applyAlignment="1" applyProtection="1">
      <alignment horizontal="center" vertical="center" wrapText="1"/>
    </xf>
    <xf numFmtId="0" fontId="27" fillId="27" borderId="12" xfId="0" applyFont="1" applyFill="1" applyBorder="1" applyAlignment="1" applyProtection="1">
      <alignment horizontal="center" vertical="center"/>
    </xf>
    <xf numFmtId="0" fontId="20" fillId="37" borderId="10" xfId="0" applyFont="1" applyFill="1" applyBorder="1" applyAlignment="1" applyProtection="1">
      <alignment horizontal="center"/>
    </xf>
    <xf numFmtId="0" fontId="20" fillId="31" borderId="10" xfId="0" applyFont="1" applyFill="1" applyBorder="1" applyAlignment="1" applyProtection="1">
      <alignment horizontal="center"/>
    </xf>
    <xf numFmtId="14" fontId="20" fillId="33" borderId="10" xfId="0" applyNumberFormat="1" applyFont="1" applyFill="1" applyBorder="1" applyAlignment="1" applyProtection="1">
      <alignment horizontal="center"/>
    </xf>
    <xf numFmtId="0" fontId="21" fillId="33" borderId="13" xfId="0" applyFont="1" applyFill="1" applyBorder="1" applyAlignment="1" applyProtection="1">
      <alignment horizontal="right"/>
    </xf>
    <xf numFmtId="0" fontId="27" fillId="27" borderId="10" xfId="0" applyFont="1" applyFill="1" applyBorder="1" applyAlignment="1" applyProtection="1">
      <alignment horizontal="left" vertical="center"/>
    </xf>
    <xf numFmtId="164" fontId="0" fillId="0" borderId="0" xfId="0" applyNumberFormat="1" applyAlignment="1">
      <alignment horizontal="center" vertical="center"/>
    </xf>
    <xf numFmtId="164" fontId="38" fillId="0" borderId="0" xfId="0" applyNumberFormat="1" applyFont="1" applyAlignment="1">
      <alignment horizontal="center" vertical="center"/>
    </xf>
    <xf numFmtId="0" fontId="22" fillId="0" borderId="0" xfId="0" applyFont="1" applyFill="1" applyAlignment="1" applyProtection="1">
      <alignment horizontal="center" vertical="center" wrapText="1"/>
    </xf>
    <xf numFmtId="165" fontId="22" fillId="26" borderId="0" xfId="43" applyFont="1" applyFill="1" applyProtection="1"/>
    <xf numFmtId="0" fontId="20" fillId="37" borderId="10" xfId="44" applyNumberFormat="1" applyFont="1" applyFill="1" applyBorder="1" applyAlignment="1" applyProtection="1">
      <alignment horizontal="right" vertical="center" wrapText="1"/>
    </xf>
    <xf numFmtId="10" fontId="22" fillId="26" borderId="0" xfId="0" applyNumberFormat="1" applyFont="1" applyFill="1" applyProtection="1"/>
    <xf numFmtId="0" fontId="27" fillId="27" borderId="10" xfId="0" applyFont="1" applyFill="1" applyBorder="1" applyAlignment="1" applyProtection="1">
      <alignment horizontal="left" vertical="center"/>
    </xf>
    <xf numFmtId="0" fontId="20" fillId="0" borderId="0" xfId="0" applyFont="1" applyFill="1" applyProtection="1"/>
    <xf numFmtId="0" fontId="20" fillId="31" borderId="10" xfId="0" applyFont="1" applyFill="1" applyBorder="1" applyAlignment="1" applyProtection="1">
      <alignment horizontal="left" vertical="center" wrapText="1"/>
    </xf>
    <xf numFmtId="0" fontId="27" fillId="27" borderId="0" xfId="0" applyFont="1" applyFill="1" applyBorder="1" applyAlignment="1" applyProtection="1">
      <alignment horizontal="left" vertical="center"/>
    </xf>
    <xf numFmtId="0" fontId="27" fillId="27" borderId="0" xfId="0" applyFont="1" applyFill="1" applyBorder="1" applyAlignment="1" applyProtection="1">
      <alignment horizontal="center" vertical="center"/>
    </xf>
    <xf numFmtId="39" fontId="20" fillId="31" borderId="10" xfId="0" applyNumberFormat="1" applyFont="1" applyFill="1" applyBorder="1" applyAlignment="1" applyProtection="1">
      <alignment horizontal="left" vertical="center" wrapText="1"/>
    </xf>
    <xf numFmtId="169" fontId="20" fillId="25" borderId="0" xfId="0" applyNumberFormat="1" applyFont="1" applyFill="1" applyProtection="1"/>
    <xf numFmtId="37" fontId="20" fillId="37" borderId="13" xfId="0" applyNumberFormat="1" applyFont="1" applyFill="1" applyBorder="1" applyAlignment="1" applyProtection="1">
      <alignment horizontal="center"/>
    </xf>
    <xf numFmtId="0" fontId="27" fillId="29" borderId="13" xfId="0" applyFont="1" applyFill="1" applyBorder="1" applyAlignment="1" applyProtection="1">
      <alignment horizontal="center" vertical="center" wrapText="1"/>
    </xf>
    <xf numFmtId="4" fontId="20" fillId="37" borderId="13" xfId="0" applyNumberFormat="1" applyFont="1" applyFill="1" applyBorder="1" applyAlignment="1" applyProtection="1">
      <alignment horizontal="right" vertical="center" wrapText="1"/>
    </xf>
    <xf numFmtId="4" fontId="20" fillId="31" borderId="13" xfId="0" applyNumberFormat="1" applyFont="1" applyFill="1" applyBorder="1" applyAlignment="1" applyProtection="1">
      <alignment horizontal="right" vertical="center" wrapText="1"/>
    </xf>
    <xf numFmtId="4" fontId="27" fillId="36" borderId="13" xfId="0" applyNumberFormat="1" applyFont="1" applyFill="1" applyBorder="1" applyAlignment="1" applyProtection="1">
      <alignment horizontal="right" vertical="center" wrapText="1"/>
    </xf>
    <xf numFmtId="39" fontId="20" fillId="37" borderId="13" xfId="0" applyNumberFormat="1" applyFont="1" applyFill="1" applyBorder="1" applyAlignment="1" applyProtection="1">
      <alignment horizontal="right" vertical="center" wrapText="1"/>
    </xf>
    <xf numFmtId="39" fontId="20" fillId="31" borderId="13" xfId="0" applyNumberFormat="1" applyFont="1" applyFill="1" applyBorder="1" applyAlignment="1" applyProtection="1">
      <alignment horizontal="right" vertical="center" wrapText="1"/>
    </xf>
    <xf numFmtId="4" fontId="27" fillId="27" borderId="13" xfId="0" applyNumberFormat="1" applyFont="1" applyFill="1" applyBorder="1" applyAlignment="1" applyProtection="1">
      <alignment horizontal="right"/>
    </xf>
    <xf numFmtId="4" fontId="27" fillId="27" borderId="13" xfId="0" applyNumberFormat="1" applyFont="1" applyFill="1" applyBorder="1" applyAlignment="1" applyProtection="1">
      <alignment horizontal="right" vertical="center"/>
    </xf>
    <xf numFmtId="0" fontId="27" fillId="29" borderId="17" xfId="0" applyFont="1" applyFill="1" applyBorder="1" applyAlignment="1" applyProtection="1">
      <alignment horizontal="center" vertical="center" wrapText="1"/>
    </xf>
    <xf numFmtId="39" fontId="20" fillId="37" borderId="17" xfId="0" applyNumberFormat="1" applyFont="1" applyFill="1" applyBorder="1" applyAlignment="1" applyProtection="1">
      <alignment horizontal="right" vertical="center" wrapText="1"/>
    </xf>
    <xf numFmtId="39" fontId="20" fillId="31" borderId="17" xfId="0" applyNumberFormat="1" applyFont="1" applyFill="1" applyBorder="1" applyAlignment="1" applyProtection="1">
      <alignment horizontal="right" vertical="center" wrapText="1"/>
    </xf>
    <xf numFmtId="4" fontId="27" fillId="36" borderId="17" xfId="0" applyNumberFormat="1" applyFont="1" applyFill="1" applyBorder="1" applyAlignment="1" applyProtection="1">
      <alignment horizontal="right" vertical="center" wrapText="1"/>
    </xf>
    <xf numFmtId="39" fontId="26" fillId="31" borderId="13" xfId="0" applyNumberFormat="1" applyFont="1" applyFill="1" applyBorder="1" applyAlignment="1" applyProtection="1">
      <alignment horizontal="right" vertical="center" wrapText="1"/>
    </xf>
    <xf numFmtId="39" fontId="26" fillId="37" borderId="13" xfId="0" applyNumberFormat="1" applyFont="1" applyFill="1" applyBorder="1" applyAlignment="1" applyProtection="1">
      <alignment horizontal="right" vertical="center" wrapText="1"/>
    </xf>
    <xf numFmtId="39" fontId="27" fillId="27" borderId="13" xfId="0" applyNumberFormat="1" applyFont="1" applyFill="1" applyBorder="1" applyAlignment="1" applyProtection="1">
      <alignment horizontal="right" vertical="center" wrapText="1"/>
    </xf>
    <xf numFmtId="2" fontId="20" fillId="33" borderId="13" xfId="0" applyNumberFormat="1" applyFont="1" applyFill="1" applyBorder="1" applyAlignment="1" applyProtection="1">
      <alignment horizontal="center"/>
    </xf>
    <xf numFmtId="14" fontId="20" fillId="38" borderId="13" xfId="0" applyNumberFormat="1" applyFont="1" applyFill="1" applyBorder="1" applyAlignment="1" applyProtection="1">
      <alignment horizontal="center"/>
    </xf>
    <xf numFmtId="2" fontId="20" fillId="38" borderId="13" xfId="0" applyNumberFormat="1" applyFont="1" applyFill="1" applyBorder="1" applyAlignment="1" applyProtection="1">
      <alignment horizontal="center"/>
    </xf>
    <xf numFmtId="0" fontId="20" fillId="31" borderId="13" xfId="0" applyNumberFormat="1" applyFont="1" applyFill="1" applyBorder="1" applyAlignment="1" applyProtection="1">
      <alignment horizontal="center"/>
    </xf>
    <xf numFmtId="0" fontId="20" fillId="37" borderId="13" xfId="0" applyNumberFormat="1" applyFont="1" applyFill="1" applyBorder="1" applyAlignment="1" applyProtection="1">
      <alignment horizontal="center"/>
    </xf>
    <xf numFmtId="14" fontId="20" fillId="33" borderId="13" xfId="0" applyNumberFormat="1" applyFont="1" applyFill="1" applyBorder="1" applyAlignment="1" applyProtection="1">
      <alignment horizontal="center"/>
    </xf>
    <xf numFmtId="0" fontId="22" fillId="25" borderId="0" xfId="0" applyFont="1" applyFill="1" applyBorder="1" applyProtection="1"/>
    <xf numFmtId="37" fontId="23" fillId="25" borderId="0" xfId="0" applyNumberFormat="1" applyFont="1" applyFill="1" applyBorder="1" applyAlignment="1" applyProtection="1">
      <alignment horizontal="center" wrapText="1"/>
    </xf>
    <xf numFmtId="0" fontId="27" fillId="25" borderId="0" xfId="0" applyFont="1" applyFill="1" applyBorder="1" applyAlignment="1" applyProtection="1">
      <alignment horizontal="center" vertical="center" wrapText="1"/>
    </xf>
    <xf numFmtId="4" fontId="20" fillId="25" borderId="0" xfId="0" applyNumberFormat="1" applyFont="1" applyFill="1" applyBorder="1" applyAlignment="1" applyProtection="1">
      <alignment horizontal="right" vertical="center" wrapText="1"/>
    </xf>
    <xf numFmtId="0" fontId="28" fillId="25" borderId="0" xfId="0" applyFont="1" applyFill="1" applyBorder="1" applyProtection="1"/>
    <xf numFmtId="0" fontId="28" fillId="25" borderId="0" xfId="0" applyFont="1" applyFill="1" applyBorder="1" applyAlignment="1" applyProtection="1">
      <alignment wrapText="1"/>
    </xf>
    <xf numFmtId="3" fontId="27" fillId="27" borderId="15" xfId="0" applyNumberFormat="1" applyFont="1" applyFill="1" applyBorder="1" applyAlignment="1" applyProtection="1">
      <alignment horizontal="center" vertical="center" wrapText="1"/>
    </xf>
    <xf numFmtId="4" fontId="27" fillId="27" borderId="15" xfId="0" applyNumberFormat="1" applyFont="1" applyFill="1" applyBorder="1" applyAlignment="1" applyProtection="1">
      <alignment vertical="center" wrapText="1"/>
    </xf>
    <xf numFmtId="0" fontId="27" fillId="27" borderId="32" xfId="0" applyFont="1" applyFill="1" applyBorder="1" applyAlignment="1" applyProtection="1">
      <alignment horizontal="center" vertical="center" wrapText="1"/>
    </xf>
    <xf numFmtId="3" fontId="20" fillId="31" borderId="33" xfId="0" applyNumberFormat="1" applyFont="1" applyFill="1" applyBorder="1" applyAlignment="1" applyProtection="1">
      <alignment horizontal="left" vertical="center" wrapText="1"/>
    </xf>
    <xf numFmtId="3" fontId="20" fillId="31" borderId="33" xfId="0" applyNumberFormat="1" applyFont="1" applyFill="1" applyBorder="1" applyAlignment="1" applyProtection="1">
      <alignment horizontal="center" vertical="center" wrapText="1"/>
    </xf>
    <xf numFmtId="4" fontId="20" fillId="31" borderId="33" xfId="0" applyNumberFormat="1" applyFont="1" applyFill="1" applyBorder="1" applyAlignment="1" applyProtection="1">
      <alignment vertical="center" wrapText="1"/>
    </xf>
    <xf numFmtId="0" fontId="27" fillId="27" borderId="35" xfId="0" applyFont="1" applyFill="1" applyBorder="1" applyAlignment="1" applyProtection="1">
      <alignment horizontal="center" vertical="center" wrapText="1"/>
    </xf>
    <xf numFmtId="3" fontId="20" fillId="30" borderId="36" xfId="0" applyNumberFormat="1" applyFont="1" applyFill="1" applyBorder="1" applyAlignment="1" applyProtection="1">
      <alignment horizontal="left" vertical="center" wrapText="1"/>
    </xf>
    <xf numFmtId="3" fontId="20" fillId="30" borderId="36" xfId="0" applyNumberFormat="1" applyFont="1" applyFill="1" applyBorder="1" applyAlignment="1" applyProtection="1">
      <alignment horizontal="center" vertical="center" wrapText="1"/>
    </xf>
    <xf numFmtId="4" fontId="20" fillId="30" borderId="36" xfId="0" applyNumberFormat="1" applyFont="1" applyFill="1" applyBorder="1" applyAlignment="1" applyProtection="1">
      <alignment vertical="center" wrapText="1"/>
    </xf>
    <xf numFmtId="4" fontId="20" fillId="30" borderId="37" xfId="0" applyNumberFormat="1" applyFont="1" applyFill="1" applyBorder="1" applyAlignment="1" applyProtection="1">
      <alignment vertical="center" wrapText="1"/>
    </xf>
    <xf numFmtId="0" fontId="27" fillId="27" borderId="38" xfId="0" applyFont="1" applyFill="1" applyBorder="1" applyAlignment="1" applyProtection="1">
      <alignment horizontal="center" vertical="center" wrapText="1"/>
    </xf>
    <xf numFmtId="3" fontId="20" fillId="31" borderId="15" xfId="0" applyNumberFormat="1" applyFont="1" applyFill="1" applyBorder="1" applyAlignment="1" applyProtection="1">
      <alignment horizontal="left" vertical="center" wrapText="1"/>
    </xf>
    <xf numFmtId="3" fontId="20" fillId="31" borderId="15" xfId="0" applyNumberFormat="1" applyFont="1" applyFill="1" applyBorder="1" applyAlignment="1" applyProtection="1">
      <alignment horizontal="center" vertical="center" wrapText="1"/>
    </xf>
    <xf numFmtId="4" fontId="20" fillId="31" borderId="15" xfId="0" applyNumberFormat="1" applyFont="1" applyFill="1" applyBorder="1" applyAlignment="1" applyProtection="1">
      <alignment vertical="center" wrapText="1"/>
    </xf>
    <xf numFmtId="4" fontId="20" fillId="31" borderId="39" xfId="0" applyNumberFormat="1" applyFont="1" applyFill="1" applyBorder="1" applyAlignment="1" applyProtection="1">
      <alignment vertical="center" wrapText="1"/>
    </xf>
    <xf numFmtId="3" fontId="20" fillId="30" borderId="15" xfId="0" applyNumberFormat="1" applyFont="1" applyFill="1" applyBorder="1" applyAlignment="1" applyProtection="1">
      <alignment horizontal="left" vertical="center" wrapText="1"/>
    </xf>
    <xf numFmtId="3" fontId="20" fillId="30" borderId="15" xfId="0" applyNumberFormat="1" applyFont="1" applyFill="1" applyBorder="1" applyAlignment="1" applyProtection="1">
      <alignment horizontal="center" vertical="center" wrapText="1"/>
    </xf>
    <xf numFmtId="4" fontId="20" fillId="30" borderId="15" xfId="0" applyNumberFormat="1" applyFont="1" applyFill="1" applyBorder="1" applyAlignment="1" applyProtection="1">
      <alignment vertical="center" wrapText="1"/>
    </xf>
    <xf numFmtId="3" fontId="20" fillId="30" borderId="33" xfId="0" applyNumberFormat="1" applyFont="1" applyFill="1" applyBorder="1" applyAlignment="1" applyProtection="1">
      <alignment horizontal="left" vertical="center" wrapText="1"/>
    </xf>
    <xf numFmtId="3" fontId="20" fillId="30" borderId="33" xfId="0" applyNumberFormat="1" applyFont="1" applyFill="1" applyBorder="1" applyAlignment="1" applyProtection="1">
      <alignment horizontal="center" vertical="center" wrapText="1"/>
    </xf>
    <xf numFmtId="4" fontId="20" fillId="30" borderId="33" xfId="0" applyNumberFormat="1" applyFont="1" applyFill="1" applyBorder="1" applyAlignment="1" applyProtection="1">
      <alignment vertical="center" wrapText="1"/>
    </xf>
    <xf numFmtId="4" fontId="20" fillId="30" borderId="34" xfId="0" applyNumberFormat="1" applyFont="1" applyFill="1" applyBorder="1" applyAlignment="1" applyProtection="1">
      <alignment horizontal="right" vertical="center" wrapText="1"/>
    </xf>
    <xf numFmtId="0" fontId="27" fillId="27" borderId="40" xfId="0" applyFont="1" applyFill="1" applyBorder="1" applyAlignment="1" applyProtection="1">
      <alignment horizontal="center" vertical="center" wrapText="1"/>
    </xf>
    <xf numFmtId="4" fontId="20" fillId="31" borderId="41" xfId="0" applyNumberFormat="1" applyFont="1" applyFill="1" applyBorder="1" applyAlignment="1" applyProtection="1">
      <alignment horizontal="right" vertical="center" wrapText="1"/>
    </xf>
    <xf numFmtId="4" fontId="20" fillId="30" borderId="37" xfId="0" applyNumberFormat="1" applyFont="1" applyFill="1" applyBorder="1" applyAlignment="1" applyProtection="1">
      <alignment horizontal="right" vertical="center" wrapText="1"/>
    </xf>
    <xf numFmtId="3" fontId="20" fillId="31" borderId="36" xfId="0" applyNumberFormat="1" applyFont="1" applyFill="1" applyBorder="1" applyAlignment="1" applyProtection="1">
      <alignment horizontal="left" vertical="center" wrapText="1"/>
    </xf>
    <xf numFmtId="3" fontId="20" fillId="31" borderId="36" xfId="0" applyNumberFormat="1" applyFont="1" applyFill="1" applyBorder="1" applyAlignment="1" applyProtection="1">
      <alignment horizontal="center" vertical="center" wrapText="1"/>
    </xf>
    <xf numFmtId="4" fontId="20" fillId="31" borderId="36" xfId="0" applyNumberFormat="1" applyFont="1" applyFill="1" applyBorder="1" applyAlignment="1" applyProtection="1">
      <alignment vertical="center" wrapText="1"/>
    </xf>
    <xf numFmtId="4" fontId="20" fillId="31" borderId="37" xfId="0" applyNumberFormat="1" applyFont="1" applyFill="1" applyBorder="1" applyAlignment="1" applyProtection="1">
      <alignment horizontal="right" vertical="center" wrapText="1"/>
    </xf>
    <xf numFmtId="0" fontId="27" fillId="27" borderId="28" xfId="0" applyFont="1" applyFill="1" applyBorder="1" applyAlignment="1" applyProtection="1">
      <alignment horizontal="center" vertical="center" wrapText="1"/>
    </xf>
    <xf numFmtId="0" fontId="27" fillId="27" borderId="28" xfId="0" applyFont="1" applyFill="1" applyBorder="1" applyAlignment="1" applyProtection="1">
      <alignment horizontal="center" vertical="center"/>
    </xf>
    <xf numFmtId="0" fontId="27" fillId="28" borderId="28" xfId="0" applyFont="1" applyFill="1" applyBorder="1" applyAlignment="1" applyProtection="1">
      <alignment horizontal="center" vertical="center"/>
    </xf>
    <xf numFmtId="0" fontId="27" fillId="29" borderId="28" xfId="0" applyFont="1" applyFill="1" applyBorder="1" applyAlignment="1" applyProtection="1">
      <alignment horizontal="center" vertical="center" wrapText="1"/>
    </xf>
    <xf numFmtId="4" fontId="20" fillId="30" borderId="39" xfId="0" applyNumberFormat="1" applyFont="1" applyFill="1" applyBorder="1" applyAlignment="1" applyProtection="1">
      <alignment horizontal="right" vertical="center" wrapText="1"/>
    </xf>
    <xf numFmtId="4" fontId="20" fillId="31" borderId="34" xfId="0" applyNumberFormat="1" applyFont="1" applyFill="1" applyBorder="1" applyAlignment="1" applyProtection="1">
      <alignment horizontal="right" vertical="center" wrapText="1"/>
    </xf>
    <xf numFmtId="4" fontId="20" fillId="30" borderId="41" xfId="0" applyNumberFormat="1" applyFont="1" applyFill="1" applyBorder="1" applyAlignment="1" applyProtection="1">
      <alignment horizontal="right" vertical="center" wrapText="1"/>
    </xf>
    <xf numFmtId="0" fontId="27" fillId="27" borderId="42" xfId="0" applyFont="1" applyFill="1" applyBorder="1" applyAlignment="1" applyProtection="1">
      <alignment horizontal="center" vertical="center"/>
    </xf>
    <xf numFmtId="0" fontId="27" fillId="27" borderId="43" xfId="0" applyFont="1" applyFill="1" applyBorder="1" applyAlignment="1" applyProtection="1">
      <alignment horizontal="center" vertical="center" wrapText="1"/>
    </xf>
    <xf numFmtId="0" fontId="27" fillId="27" borderId="44" xfId="0" applyFont="1" applyFill="1" applyBorder="1" applyAlignment="1" applyProtection="1">
      <alignment horizontal="center" vertical="center" wrapText="1"/>
    </xf>
    <xf numFmtId="0" fontId="41" fillId="25" borderId="0" xfId="0" applyFont="1" applyFill="1" applyProtection="1"/>
    <xf numFmtId="3" fontId="20" fillId="34" borderId="0" xfId="0" applyNumberFormat="1" applyFont="1" applyFill="1" applyBorder="1" applyAlignment="1" applyProtection="1">
      <alignment horizontal="right" vertical="center" wrapText="1"/>
      <protection locked="0"/>
    </xf>
    <xf numFmtId="165" fontId="20" fillId="25" borderId="0" xfId="43" applyFont="1" applyFill="1" applyProtection="1"/>
    <xf numFmtId="0" fontId="20" fillId="32" borderId="0" xfId="0" applyFont="1" applyFill="1" applyBorder="1" applyAlignment="1" applyProtection="1">
      <alignment horizontal="center" vertical="center" wrapText="1"/>
      <protection locked="0"/>
    </xf>
    <xf numFmtId="2" fontId="20" fillId="31" borderId="0" xfId="0" applyNumberFormat="1" applyFont="1" applyFill="1" applyBorder="1" applyAlignment="1" applyProtection="1">
      <alignment horizontal="center" vertical="center"/>
    </xf>
    <xf numFmtId="2" fontId="20" fillId="25" borderId="0" xfId="0" applyNumberFormat="1" applyFont="1" applyFill="1" applyBorder="1" applyAlignment="1" applyProtection="1">
      <alignment horizontal="center" vertical="center" wrapText="1"/>
    </xf>
    <xf numFmtId="2" fontId="20" fillId="25" borderId="0" xfId="0" applyNumberFormat="1" applyFont="1" applyFill="1" applyBorder="1" applyAlignment="1" applyProtection="1">
      <alignment horizontal="center" vertical="center"/>
    </xf>
    <xf numFmtId="0" fontId="42" fillId="25" borderId="0" xfId="0" applyFont="1" applyFill="1" applyBorder="1" applyAlignment="1" applyProtection="1">
      <alignment vertical="center"/>
    </xf>
    <xf numFmtId="0" fontId="27" fillId="39" borderId="0" xfId="0" applyFont="1" applyFill="1" applyBorder="1" applyAlignment="1" applyProtection="1">
      <alignment horizontal="center" vertical="center" wrapText="1"/>
    </xf>
    <xf numFmtId="4" fontId="43" fillId="25" borderId="0" xfId="0" applyNumberFormat="1" applyFont="1" applyFill="1" applyBorder="1" applyAlignment="1" applyProtection="1">
      <alignment horizontal="right" vertical="center" wrapText="1"/>
    </xf>
    <xf numFmtId="4" fontId="44" fillId="25" borderId="0" xfId="0" applyNumberFormat="1" applyFont="1" applyFill="1" applyBorder="1" applyAlignment="1" applyProtection="1">
      <alignment horizontal="right" vertical="center" wrapText="1"/>
    </xf>
    <xf numFmtId="10" fontId="27" fillId="25" borderId="0" xfId="0" applyNumberFormat="1" applyFont="1" applyFill="1" applyBorder="1" applyAlignment="1" applyProtection="1">
      <alignment horizontal="center" vertical="center" wrapText="1"/>
    </xf>
    <xf numFmtId="0" fontId="24" fillId="25" borderId="0" xfId="0" applyFont="1" applyFill="1" applyBorder="1" applyProtection="1"/>
    <xf numFmtId="0" fontId="45" fillId="25" borderId="0" xfId="0" applyFont="1" applyFill="1" applyAlignment="1" applyProtection="1">
      <alignment wrapText="1"/>
    </xf>
    <xf numFmtId="165" fontId="20" fillId="25" borderId="0" xfId="0" applyNumberFormat="1" applyFont="1" applyFill="1" applyProtection="1"/>
    <xf numFmtId="4" fontId="44" fillId="27" borderId="15" xfId="0" applyNumberFormat="1" applyFont="1" applyFill="1" applyBorder="1" applyAlignment="1" applyProtection="1">
      <alignment horizontal="right" vertical="center" wrapText="1"/>
    </xf>
    <xf numFmtId="170" fontId="20" fillId="25" borderId="0" xfId="45" applyNumberFormat="1" applyFont="1" applyFill="1" applyProtection="1"/>
    <xf numFmtId="4" fontId="20" fillId="37" borderId="10" xfId="0" applyNumberFormat="1" applyFont="1" applyFill="1" applyBorder="1" applyAlignment="1" applyProtection="1">
      <alignment horizontal="right" vertical="center" wrapText="1"/>
    </xf>
    <xf numFmtId="4" fontId="20" fillId="31" borderId="10" xfId="0" applyNumberFormat="1" applyFont="1" applyFill="1" applyBorder="1" applyAlignment="1" applyProtection="1">
      <alignment horizontal="right" vertical="center" wrapText="1"/>
    </xf>
    <xf numFmtId="0" fontId="27" fillId="27" borderId="30" xfId="0" applyFont="1" applyFill="1" applyBorder="1" applyAlignment="1" applyProtection="1">
      <alignment horizontal="right"/>
    </xf>
    <xf numFmtId="0" fontId="20" fillId="38" borderId="13" xfId="0" applyFont="1" applyFill="1" applyBorder="1" applyAlignment="1" applyProtection="1">
      <alignment horizontal="center" vertical="center" wrapText="1"/>
    </xf>
    <xf numFmtId="0" fontId="20" fillId="38" borderId="12" xfId="0" applyFont="1" applyFill="1" applyBorder="1" applyAlignment="1" applyProtection="1">
      <alignment horizontal="center" vertical="center" wrapText="1"/>
    </xf>
    <xf numFmtId="0" fontId="20" fillId="33" borderId="13" xfId="0" applyFont="1" applyFill="1" applyBorder="1" applyAlignment="1" applyProtection="1">
      <alignment horizontal="center" vertical="center" wrapText="1"/>
    </xf>
    <xf numFmtId="0" fontId="20" fillId="33" borderId="12" xfId="0" applyFont="1" applyFill="1" applyBorder="1" applyAlignment="1" applyProtection="1">
      <alignment horizontal="center" vertical="center" wrapText="1"/>
    </xf>
    <xf numFmtId="0" fontId="20" fillId="37" borderId="10" xfId="0" applyFont="1" applyFill="1" applyBorder="1" applyAlignment="1" applyProtection="1">
      <alignment horizontal="left"/>
    </xf>
    <xf numFmtId="0" fontId="27" fillId="29" borderId="13" xfId="0" applyFont="1" applyFill="1" applyBorder="1" applyAlignment="1" applyProtection="1">
      <alignment horizontal="left" vertical="center" wrapText="1"/>
    </xf>
    <xf numFmtId="0" fontId="27" fillId="29" borderId="12" xfId="0" applyFont="1" applyFill="1" applyBorder="1" applyAlignment="1" applyProtection="1">
      <alignment horizontal="left" vertical="center" wrapText="1"/>
    </xf>
    <xf numFmtId="0" fontId="20" fillId="31" borderId="10" xfId="0" applyFont="1" applyFill="1" applyBorder="1" applyAlignment="1" applyProtection="1">
      <alignment horizontal="center"/>
    </xf>
    <xf numFmtId="0" fontId="20" fillId="37" borderId="10" xfId="0" applyFont="1" applyFill="1" applyBorder="1" applyAlignment="1" applyProtection="1">
      <alignment horizontal="center"/>
    </xf>
    <xf numFmtId="0" fontId="20" fillId="31" borderId="10" xfId="0" applyFont="1" applyFill="1" applyBorder="1" applyAlignment="1" applyProtection="1">
      <alignment horizontal="left"/>
    </xf>
    <xf numFmtId="39" fontId="20" fillId="37" borderId="10" xfId="0" applyNumberFormat="1" applyFont="1" applyFill="1" applyBorder="1" applyAlignment="1" applyProtection="1">
      <alignment horizontal="left" vertical="center" wrapText="1"/>
    </xf>
    <xf numFmtId="0" fontId="27" fillId="29" borderId="10" xfId="0" applyFont="1" applyFill="1" applyBorder="1" applyAlignment="1" applyProtection="1">
      <alignment horizontal="left" vertical="center" wrapText="1"/>
    </xf>
    <xf numFmtId="0" fontId="20" fillId="31" borderId="13" xfId="0" applyFont="1" applyFill="1" applyBorder="1" applyAlignment="1" applyProtection="1">
      <alignment horizontal="left" vertical="center" wrapText="1"/>
    </xf>
    <xf numFmtId="0" fontId="20" fillId="31" borderId="14" xfId="0" applyFont="1" applyFill="1" applyBorder="1" applyAlignment="1" applyProtection="1">
      <alignment horizontal="left" vertical="center" wrapText="1"/>
    </xf>
    <xf numFmtId="0" fontId="20" fillId="31" borderId="12" xfId="0" applyFont="1" applyFill="1" applyBorder="1" applyAlignment="1" applyProtection="1">
      <alignment horizontal="left" vertical="center" wrapText="1"/>
    </xf>
    <xf numFmtId="39" fontId="20" fillId="34" borderId="10" xfId="0" applyNumberFormat="1" applyFont="1" applyFill="1" applyBorder="1" applyAlignment="1" applyProtection="1">
      <alignment horizontal="left" vertical="center" wrapText="1"/>
      <protection locked="0"/>
    </xf>
    <xf numFmtId="39" fontId="20" fillId="34" borderId="13" xfId="0" applyNumberFormat="1" applyFont="1" applyFill="1" applyBorder="1" applyAlignment="1" applyProtection="1">
      <alignment horizontal="left" vertical="center" wrapText="1"/>
      <protection locked="0"/>
    </xf>
    <xf numFmtId="39" fontId="20" fillId="34" borderId="12" xfId="0" applyNumberFormat="1" applyFont="1" applyFill="1" applyBorder="1" applyAlignment="1" applyProtection="1">
      <alignment horizontal="left" vertical="center" wrapText="1"/>
      <protection locked="0"/>
    </xf>
    <xf numFmtId="0" fontId="27" fillId="27" borderId="13" xfId="0" applyFont="1" applyFill="1" applyBorder="1" applyAlignment="1" applyProtection="1">
      <alignment horizontal="left" vertical="center" wrapText="1"/>
    </xf>
    <xf numFmtId="0" fontId="27" fillId="27" borderId="14" xfId="0" applyFont="1" applyFill="1" applyBorder="1" applyAlignment="1" applyProtection="1">
      <alignment horizontal="left" vertical="center" wrapText="1"/>
    </xf>
    <xf numFmtId="0" fontId="27" fillId="27" borderId="12" xfId="0" applyFont="1" applyFill="1" applyBorder="1" applyAlignment="1" applyProtection="1">
      <alignment horizontal="left" vertical="center" wrapText="1"/>
    </xf>
    <xf numFmtId="0" fontId="27" fillId="27" borderId="10" xfId="0" applyFont="1" applyFill="1" applyBorder="1" applyAlignment="1" applyProtection="1">
      <alignment horizontal="left" vertical="center"/>
    </xf>
    <xf numFmtId="0" fontId="20" fillId="37" borderId="13" xfId="0" applyFont="1" applyFill="1" applyBorder="1" applyAlignment="1" applyProtection="1">
      <alignment horizontal="left" vertical="center" wrapText="1"/>
    </xf>
    <xf numFmtId="0" fontId="20" fillId="37" borderId="14" xfId="0" applyFont="1" applyFill="1" applyBorder="1" applyAlignment="1" applyProtection="1">
      <alignment horizontal="left" vertical="center" wrapText="1"/>
    </xf>
    <xf numFmtId="0" fontId="20" fillId="37" borderId="12" xfId="0" applyFont="1" applyFill="1" applyBorder="1" applyAlignment="1" applyProtection="1">
      <alignment horizontal="left" vertical="center" wrapText="1"/>
    </xf>
    <xf numFmtId="0" fontId="33" fillId="25" borderId="0" xfId="0" applyFont="1" applyFill="1" applyBorder="1" applyAlignment="1" applyProtection="1">
      <alignment horizontal="left" wrapText="1"/>
    </xf>
    <xf numFmtId="4" fontId="20" fillId="35" borderId="13" xfId="0" applyNumberFormat="1" applyFont="1" applyFill="1" applyBorder="1" applyAlignment="1" applyProtection="1">
      <alignment horizontal="left" vertical="center" wrapText="1"/>
      <protection locked="0"/>
    </xf>
    <xf numFmtId="4" fontId="20" fillId="35" borderId="14" xfId="0" applyNumberFormat="1" applyFont="1" applyFill="1" applyBorder="1" applyAlignment="1" applyProtection="1">
      <alignment horizontal="left" vertical="center" wrapText="1"/>
      <protection locked="0"/>
    </xf>
    <xf numFmtId="4" fontId="20" fillId="35" borderId="12" xfId="0" applyNumberFormat="1" applyFont="1" applyFill="1" applyBorder="1" applyAlignment="1" applyProtection="1">
      <alignment horizontal="left" vertical="center" wrapText="1"/>
      <protection locked="0"/>
    </xf>
    <xf numFmtId="0" fontId="27" fillId="27" borderId="13" xfId="0" applyFont="1" applyFill="1" applyBorder="1" applyAlignment="1" applyProtection="1">
      <alignment horizontal="left" vertical="center"/>
    </xf>
    <xf numFmtId="0" fontId="27" fillId="27" borderId="14" xfId="0" applyFont="1" applyFill="1" applyBorder="1" applyAlignment="1" applyProtection="1">
      <alignment horizontal="left" vertical="center"/>
    </xf>
    <xf numFmtId="0" fontId="27" fillId="27" borderId="12" xfId="0" applyFont="1" applyFill="1" applyBorder="1" applyAlignment="1" applyProtection="1">
      <alignment horizontal="left" vertical="center"/>
    </xf>
    <xf numFmtId="0" fontId="27" fillId="29" borderId="11" xfId="0" applyFont="1" applyFill="1" applyBorder="1" applyAlignment="1" applyProtection="1">
      <alignment horizontal="left" vertical="center" wrapText="1"/>
    </xf>
    <xf numFmtId="0" fontId="20" fillId="37" borderId="11" xfId="0" applyFont="1" applyFill="1" applyBorder="1" applyAlignment="1" applyProtection="1">
      <alignment horizontal="left" vertical="center" wrapText="1"/>
    </xf>
    <xf numFmtId="0" fontId="20" fillId="31" borderId="11" xfId="0" applyFont="1" applyFill="1" applyBorder="1" applyAlignment="1" applyProtection="1">
      <alignment horizontal="left" vertical="center" wrapText="1"/>
    </xf>
    <xf numFmtId="0" fontId="20" fillId="25" borderId="0" xfId="0" applyFont="1" applyFill="1" applyAlignment="1" applyProtection="1">
      <alignment horizontal="justify" vertical="center" wrapText="1"/>
    </xf>
    <xf numFmtId="39" fontId="20" fillId="37" borderId="13" xfId="0" applyNumberFormat="1" applyFont="1" applyFill="1" applyBorder="1" applyAlignment="1" applyProtection="1">
      <alignment horizontal="left" vertical="center" wrapText="1"/>
    </xf>
    <xf numFmtId="39" fontId="20" fillId="37" borderId="14" xfId="0" applyNumberFormat="1" applyFont="1" applyFill="1" applyBorder="1" applyAlignment="1" applyProtection="1">
      <alignment horizontal="left" vertical="center" wrapText="1"/>
    </xf>
    <xf numFmtId="39" fontId="20" fillId="37" borderId="12" xfId="0" applyNumberFormat="1" applyFont="1" applyFill="1" applyBorder="1" applyAlignment="1" applyProtection="1">
      <alignment horizontal="left" vertical="center" wrapText="1"/>
    </xf>
    <xf numFmtId="0" fontId="21" fillId="32" borderId="13" xfId="0" applyFont="1" applyFill="1" applyBorder="1" applyAlignment="1" applyProtection="1">
      <alignment horizontal="left"/>
      <protection locked="0"/>
    </xf>
    <xf numFmtId="0" fontId="21" fillId="32" borderId="14" xfId="0" applyFont="1" applyFill="1" applyBorder="1" applyAlignment="1" applyProtection="1">
      <alignment horizontal="left"/>
      <protection locked="0"/>
    </xf>
    <xf numFmtId="0" fontId="21" fillId="32" borderId="12" xfId="0" applyFont="1" applyFill="1" applyBorder="1" applyAlignment="1" applyProtection="1">
      <alignment horizontal="left"/>
      <protection locked="0"/>
    </xf>
    <xf numFmtId="0" fontId="29" fillId="25" borderId="0" xfId="0" applyFont="1" applyFill="1" applyBorder="1" applyAlignment="1" applyProtection="1">
      <alignment horizontal="center"/>
    </xf>
    <xf numFmtId="0" fontId="27" fillId="27" borderId="15" xfId="0" applyFont="1" applyFill="1" applyBorder="1" applyAlignment="1" applyProtection="1">
      <alignment horizontal="left"/>
    </xf>
    <xf numFmtId="0" fontId="27" fillId="27" borderId="13" xfId="0" applyFont="1" applyFill="1" applyBorder="1" applyAlignment="1" applyProtection="1">
      <alignment horizontal="center" vertical="center"/>
    </xf>
    <xf numFmtId="0" fontId="27" fillId="27" borderId="12" xfId="0" applyFont="1" applyFill="1" applyBorder="1" applyAlignment="1" applyProtection="1">
      <alignment horizontal="center" vertical="center"/>
    </xf>
    <xf numFmtId="0" fontId="20" fillId="38" borderId="10" xfId="0" applyFont="1" applyFill="1" applyBorder="1" applyAlignment="1" applyProtection="1">
      <alignment horizontal="left"/>
    </xf>
    <xf numFmtId="0" fontId="20" fillId="32" borderId="10" xfId="0" applyFont="1" applyFill="1" applyBorder="1" applyAlignment="1" applyProtection="1">
      <alignment horizontal="center"/>
      <protection locked="0"/>
    </xf>
    <xf numFmtId="49" fontId="20" fillId="32" borderId="13" xfId="0" applyNumberFormat="1" applyFont="1" applyFill="1" applyBorder="1" applyAlignment="1" applyProtection="1">
      <alignment horizontal="center"/>
      <protection locked="0"/>
    </xf>
    <xf numFmtId="49" fontId="20" fillId="32" borderId="12" xfId="0" applyNumberFormat="1" applyFont="1" applyFill="1" applyBorder="1" applyAlignment="1" applyProtection="1">
      <alignment horizontal="center"/>
      <protection locked="0"/>
    </xf>
    <xf numFmtId="0" fontId="20" fillId="33" borderId="10" xfId="0" applyFont="1" applyFill="1" applyBorder="1" applyAlignment="1" applyProtection="1">
      <alignment horizontal="left"/>
    </xf>
    <xf numFmtId="0" fontId="20" fillId="32" borderId="10" xfId="0" applyFont="1" applyFill="1" applyBorder="1" applyAlignment="1" applyProtection="1">
      <alignment horizontal="right"/>
      <protection locked="0"/>
    </xf>
    <xf numFmtId="0" fontId="20" fillId="32" borderId="10" xfId="0" applyFont="1" applyFill="1" applyBorder="1" applyAlignment="1" applyProtection="1">
      <alignment horizontal="left" vertical="center"/>
      <protection locked="0"/>
    </xf>
    <xf numFmtId="0" fontId="20" fillId="33" borderId="13" xfId="0" applyFont="1" applyFill="1" applyBorder="1" applyAlignment="1" applyProtection="1">
      <alignment horizontal="left" vertical="center" wrapText="1"/>
    </xf>
    <xf numFmtId="0" fontId="20" fillId="33" borderId="14" xfId="0" applyFont="1" applyFill="1" applyBorder="1" applyAlignment="1" applyProtection="1">
      <alignment horizontal="left" vertical="center" wrapText="1"/>
    </xf>
    <xf numFmtId="0" fontId="20" fillId="33" borderId="12" xfId="0" applyFont="1" applyFill="1" applyBorder="1" applyAlignment="1" applyProtection="1">
      <alignment horizontal="left" vertical="center" wrapText="1"/>
    </xf>
    <xf numFmtId="0" fontId="20" fillId="31" borderId="13" xfId="0" applyFont="1" applyFill="1" applyBorder="1" applyAlignment="1" applyProtection="1">
      <alignment horizontal="left" vertical="center"/>
    </xf>
    <xf numFmtId="0" fontId="20" fillId="31" borderId="14" xfId="0" applyFont="1" applyFill="1" applyBorder="1" applyAlignment="1" applyProtection="1">
      <alignment horizontal="left" vertical="center"/>
    </xf>
    <xf numFmtId="0" fontId="20" fillId="31" borderId="12" xfId="0" applyFont="1" applyFill="1" applyBorder="1" applyAlignment="1" applyProtection="1">
      <alignment horizontal="left" vertical="center"/>
    </xf>
    <xf numFmtId="0" fontId="20" fillId="37" borderId="10" xfId="0" applyFont="1" applyFill="1" applyBorder="1" applyAlignment="1" applyProtection="1">
      <alignment horizontal="left" vertical="center" wrapText="1"/>
    </xf>
    <xf numFmtId="0" fontId="33" fillId="25" borderId="30" xfId="0" applyFont="1" applyFill="1" applyBorder="1" applyAlignment="1" applyProtection="1">
      <alignment horizontal="left" vertical="center" wrapText="1"/>
    </xf>
    <xf numFmtId="0" fontId="20" fillId="31" borderId="10" xfId="0" applyFont="1" applyFill="1" applyBorder="1" applyAlignment="1" applyProtection="1">
      <alignment horizontal="left" vertical="center" wrapText="1"/>
    </xf>
    <xf numFmtId="0" fontId="20" fillId="37" borderId="10" xfId="0" applyFont="1" applyFill="1" applyBorder="1" applyAlignment="1" applyProtection="1">
      <alignment horizontal="justify" vertical="center"/>
    </xf>
    <xf numFmtId="0" fontId="27" fillId="27" borderId="10" xfId="0" applyFont="1" applyFill="1" applyBorder="1" applyAlignment="1" applyProtection="1">
      <alignment horizontal="left" vertical="center" wrapText="1"/>
    </xf>
    <xf numFmtId="0" fontId="20" fillId="31" borderId="10" xfId="0" applyFont="1" applyFill="1" applyBorder="1" applyAlignment="1" applyProtection="1">
      <alignment horizontal="justify" vertical="center"/>
    </xf>
    <xf numFmtId="0" fontId="27" fillId="27" borderId="10" xfId="0" applyFont="1" applyFill="1" applyBorder="1" applyAlignment="1" applyProtection="1">
      <alignment horizontal="justify" vertical="center" wrapText="1"/>
    </xf>
    <xf numFmtId="39" fontId="20" fillId="31" borderId="13" xfId="0" applyNumberFormat="1" applyFont="1" applyFill="1" applyBorder="1" applyAlignment="1" applyProtection="1">
      <alignment horizontal="left" vertical="center" wrapText="1"/>
    </xf>
    <xf numFmtId="39" fontId="20" fillId="31" borderId="14" xfId="0" applyNumberFormat="1" applyFont="1" applyFill="1" applyBorder="1" applyAlignment="1" applyProtection="1">
      <alignment horizontal="left" vertical="center" wrapText="1"/>
    </xf>
    <xf numFmtId="39" fontId="20" fillId="31" borderId="12" xfId="0" applyNumberFormat="1" applyFont="1" applyFill="1" applyBorder="1" applyAlignment="1" applyProtection="1">
      <alignment horizontal="left" vertical="center" wrapText="1"/>
    </xf>
    <xf numFmtId="0" fontId="33" fillId="25" borderId="14" xfId="0" applyFont="1" applyFill="1" applyBorder="1" applyAlignment="1" applyProtection="1">
      <alignment horizontal="justify" vertical="center" wrapText="1"/>
    </xf>
    <xf numFmtId="0" fontId="27" fillId="27" borderId="13" xfId="0" applyFont="1" applyFill="1" applyBorder="1" applyAlignment="1" applyProtection="1">
      <alignment horizontal="justify" vertical="center" wrapText="1"/>
    </xf>
    <xf numFmtId="0" fontId="27" fillId="27" borderId="12" xfId="0" applyFont="1" applyFill="1" applyBorder="1" applyAlignment="1" applyProtection="1">
      <alignment horizontal="justify" vertical="center" wrapText="1"/>
    </xf>
    <xf numFmtId="0" fontId="20" fillId="33" borderId="10" xfId="0" applyFont="1" applyFill="1" applyBorder="1" applyAlignment="1" applyProtection="1">
      <alignment horizontal="left" vertical="center"/>
    </xf>
    <xf numFmtId="0" fontId="20" fillId="38" borderId="10" xfId="0" applyFont="1" applyFill="1" applyBorder="1" applyAlignment="1" applyProtection="1">
      <alignment horizontal="left" vertical="center"/>
    </xf>
    <xf numFmtId="0" fontId="21" fillId="38" borderId="13" xfId="0" applyFont="1" applyFill="1" applyBorder="1" applyAlignment="1" applyProtection="1">
      <alignment horizontal="left"/>
    </xf>
    <xf numFmtId="0" fontId="21" fillId="38" borderId="14" xfId="0" applyFont="1" applyFill="1" applyBorder="1" applyAlignment="1" applyProtection="1">
      <alignment horizontal="left"/>
    </xf>
    <xf numFmtId="0" fontId="21" fillId="38" borderId="12" xfId="0" applyFont="1" applyFill="1" applyBorder="1" applyAlignment="1" applyProtection="1">
      <alignment horizontal="left"/>
    </xf>
    <xf numFmtId="0" fontId="21" fillId="33" borderId="13" xfId="0" applyFont="1" applyFill="1" applyBorder="1" applyAlignment="1" applyProtection="1">
      <alignment horizontal="left"/>
    </xf>
    <xf numFmtId="0" fontId="21" fillId="33" borderId="14" xfId="0" applyFont="1" applyFill="1" applyBorder="1" applyAlignment="1" applyProtection="1">
      <alignment horizontal="left"/>
    </xf>
    <xf numFmtId="0" fontId="21" fillId="33" borderId="12" xfId="0" applyFont="1" applyFill="1" applyBorder="1" applyAlignment="1" applyProtection="1">
      <alignment horizontal="left"/>
    </xf>
    <xf numFmtId="0" fontId="20" fillId="38" borderId="10" xfId="0" applyFont="1" applyFill="1" applyBorder="1" applyAlignment="1" applyProtection="1">
      <alignment horizontal="center"/>
    </xf>
    <xf numFmtId="0" fontId="20" fillId="33" borderId="10" xfId="0" applyFont="1" applyFill="1" applyBorder="1" applyAlignment="1" applyProtection="1">
      <alignment horizontal="right"/>
    </xf>
    <xf numFmtId="0" fontId="35" fillId="0" borderId="0" xfId="0" applyFont="1" applyBorder="1" applyAlignment="1" applyProtection="1">
      <alignment horizontal="center"/>
    </xf>
    <xf numFmtId="0" fontId="36" fillId="25" borderId="16" xfId="0" applyFont="1" applyFill="1" applyBorder="1" applyAlignment="1" applyProtection="1">
      <alignment horizontal="center" vertical="center"/>
    </xf>
    <xf numFmtId="0" fontId="27" fillId="29" borderId="14" xfId="0" applyFont="1" applyFill="1" applyBorder="1" applyAlignment="1" applyProtection="1">
      <alignment horizontal="left" vertical="center" wrapText="1"/>
    </xf>
    <xf numFmtId="4" fontId="20" fillId="31" borderId="11" xfId="0" applyNumberFormat="1" applyFont="1" applyFill="1" applyBorder="1" applyAlignment="1" applyProtection="1">
      <alignment horizontal="left" vertical="center" wrapText="1"/>
    </xf>
    <xf numFmtId="4" fontId="20" fillId="31" borderId="10" xfId="0" applyNumberFormat="1" applyFont="1" applyFill="1" applyBorder="1" applyAlignment="1" applyProtection="1">
      <alignment horizontal="left" vertical="center" wrapText="1"/>
    </xf>
    <xf numFmtId="0" fontId="26" fillId="31" borderId="10" xfId="0" applyFont="1" applyFill="1" applyBorder="1" applyAlignment="1" applyProtection="1">
      <alignment horizontal="left" vertical="center" wrapText="1" indent="1"/>
    </xf>
    <xf numFmtId="0" fontId="26" fillId="37" borderId="10" xfId="0" applyFont="1" applyFill="1" applyBorder="1" applyAlignment="1" applyProtection="1">
      <alignment horizontal="left" vertical="center" wrapText="1" indent="1"/>
    </xf>
    <xf numFmtId="0" fontId="27" fillId="36" borderId="11" xfId="0" applyFont="1" applyFill="1" applyBorder="1" applyAlignment="1" applyProtection="1">
      <alignment horizontal="left" vertical="center" wrapText="1"/>
    </xf>
    <xf numFmtId="0" fontId="27" fillId="36" borderId="10" xfId="0" applyFont="1" applyFill="1" applyBorder="1" applyAlignment="1" applyProtection="1">
      <alignment horizontal="left" vertical="center" wrapText="1"/>
    </xf>
    <xf numFmtId="0" fontId="33" fillId="25" borderId="0" xfId="0" applyFont="1" applyFill="1" applyBorder="1" applyAlignment="1" applyProtection="1">
      <alignment horizontal="justify" vertical="center" wrapText="1"/>
    </xf>
    <xf numFmtId="0" fontId="20" fillId="37" borderId="10" xfId="0" applyFont="1" applyFill="1" applyBorder="1" applyAlignment="1" applyProtection="1">
      <alignment horizontal="left" wrapText="1"/>
    </xf>
    <xf numFmtId="39" fontId="20" fillId="37" borderId="11" xfId="0" applyNumberFormat="1" applyFont="1" applyFill="1" applyBorder="1" applyAlignment="1" applyProtection="1">
      <alignment horizontal="left" vertical="center" wrapText="1"/>
    </xf>
    <xf numFmtId="0" fontId="27" fillId="27" borderId="11" xfId="0" applyFont="1" applyFill="1" applyBorder="1" applyAlignment="1" applyProtection="1">
      <alignment horizontal="left" vertical="center"/>
    </xf>
    <xf numFmtId="0" fontId="20" fillId="31" borderId="13" xfId="0" applyFont="1" applyFill="1" applyBorder="1" applyAlignment="1" applyProtection="1">
      <alignment horizontal="center"/>
    </xf>
    <xf numFmtId="0" fontId="20" fillId="31" borderId="14" xfId="0" applyFont="1" applyFill="1" applyBorder="1" applyAlignment="1" applyProtection="1">
      <alignment horizontal="center"/>
    </xf>
    <xf numFmtId="0" fontId="20" fillId="31" borderId="12" xfId="0" applyFont="1" applyFill="1" applyBorder="1" applyAlignment="1" applyProtection="1">
      <alignment horizontal="center"/>
    </xf>
    <xf numFmtId="0" fontId="20" fillId="31" borderId="13" xfId="0" applyFont="1" applyFill="1" applyBorder="1" applyAlignment="1" applyProtection="1">
      <alignment horizontal="left"/>
    </xf>
    <xf numFmtId="0" fontId="20" fillId="31" borderId="14" xfId="0" applyFont="1" applyFill="1" applyBorder="1" applyAlignment="1" applyProtection="1">
      <alignment horizontal="left"/>
    </xf>
    <xf numFmtId="0" fontId="20" fillId="31" borderId="12" xfId="0" applyFont="1" applyFill="1" applyBorder="1" applyAlignment="1" applyProtection="1">
      <alignment horizontal="left"/>
    </xf>
    <xf numFmtId="0" fontId="20" fillId="37" borderId="13" xfId="0" applyFont="1" applyFill="1" applyBorder="1" applyAlignment="1" applyProtection="1">
      <alignment horizontal="center"/>
    </xf>
    <xf numFmtId="0" fontId="20" fillId="37" borderId="14" xfId="0" applyFont="1" applyFill="1" applyBorder="1" applyAlignment="1" applyProtection="1">
      <alignment horizontal="center"/>
    </xf>
    <xf numFmtId="0" fontId="20" fillId="37" borderId="12" xfId="0" applyFont="1" applyFill="1" applyBorder="1" applyAlignment="1" applyProtection="1">
      <alignment horizontal="center"/>
    </xf>
    <xf numFmtId="0" fontId="20" fillId="37" borderId="13" xfId="0" applyFont="1" applyFill="1" applyBorder="1" applyAlignment="1" applyProtection="1">
      <alignment horizontal="left"/>
    </xf>
    <xf numFmtId="0" fontId="20" fillId="37" borderId="12" xfId="0" applyFont="1" applyFill="1" applyBorder="1" applyAlignment="1" applyProtection="1">
      <alignment horizontal="left"/>
    </xf>
    <xf numFmtId="0" fontId="27" fillId="27" borderId="17" xfId="0" applyFont="1" applyFill="1" applyBorder="1" applyAlignment="1" applyProtection="1">
      <alignment horizontal="left" vertical="center"/>
    </xf>
    <xf numFmtId="0" fontId="27" fillId="27" borderId="18" xfId="0" applyFont="1" applyFill="1" applyBorder="1" applyAlignment="1" applyProtection="1">
      <alignment horizontal="left" vertical="center"/>
    </xf>
    <xf numFmtId="0" fontId="27" fillId="27" borderId="19" xfId="0" applyFont="1" applyFill="1" applyBorder="1" applyAlignment="1" applyProtection="1">
      <alignment horizontal="left" vertical="center"/>
    </xf>
    <xf numFmtId="0" fontId="33" fillId="25" borderId="0" xfId="0" applyFont="1" applyFill="1" applyBorder="1" applyAlignment="1" applyProtection="1">
      <alignment horizontal="left" vertical="center" wrapText="1"/>
    </xf>
    <xf numFmtId="0" fontId="27" fillId="27" borderId="11" xfId="0" applyFont="1" applyFill="1" applyBorder="1" applyAlignment="1" applyProtection="1">
      <alignment horizontal="justify" vertical="center" wrapText="1"/>
    </xf>
    <xf numFmtId="0" fontId="27" fillId="27" borderId="13" xfId="0" applyFont="1" applyFill="1" applyBorder="1" applyAlignment="1">
      <alignment horizontal="center" vertical="center" wrapText="1"/>
    </xf>
    <xf numFmtId="0" fontId="27" fillId="27" borderId="12" xfId="0" applyFont="1" applyFill="1" applyBorder="1" applyAlignment="1">
      <alignment horizontal="center" vertical="center" wrapText="1"/>
    </xf>
    <xf numFmtId="0" fontId="27" fillId="28" borderId="21" xfId="0" applyFont="1" applyFill="1" applyBorder="1" applyAlignment="1" applyProtection="1">
      <alignment horizontal="center" vertical="center"/>
    </xf>
    <xf numFmtId="0" fontId="27" fillId="28" borderId="20" xfId="0" applyFont="1" applyFill="1" applyBorder="1" applyAlignment="1" applyProtection="1">
      <alignment horizontal="center" vertical="center"/>
    </xf>
    <xf numFmtId="0" fontId="27" fillId="28" borderId="22" xfId="0" applyFont="1" applyFill="1" applyBorder="1" applyAlignment="1" applyProtection="1">
      <alignment horizontal="center" vertical="center"/>
    </xf>
    <xf numFmtId="0" fontId="27" fillId="28" borderId="21" xfId="0" applyFont="1" applyFill="1" applyBorder="1" applyAlignment="1" applyProtection="1">
      <alignment horizontal="center" vertical="center" wrapText="1"/>
    </xf>
    <xf numFmtId="0" fontId="27" fillId="28" borderId="23" xfId="0" applyFont="1" applyFill="1" applyBorder="1" applyAlignment="1" applyProtection="1">
      <alignment horizontal="center" vertical="center" wrapText="1"/>
    </xf>
    <xf numFmtId="0" fontId="27" fillId="28" borderId="24" xfId="0" applyFont="1" applyFill="1" applyBorder="1" applyAlignment="1" applyProtection="1">
      <alignment horizontal="center" vertical="center" wrapText="1"/>
    </xf>
    <xf numFmtId="0" fontId="27" fillId="28" borderId="25" xfId="0" applyFont="1" applyFill="1" applyBorder="1" applyAlignment="1" applyProtection="1">
      <alignment horizontal="center" vertical="center" wrapText="1"/>
    </xf>
    <xf numFmtId="0" fontId="27" fillId="28" borderId="26" xfId="0" applyFont="1" applyFill="1" applyBorder="1" applyAlignment="1" applyProtection="1">
      <alignment horizontal="center" vertical="center" wrapText="1"/>
    </xf>
    <xf numFmtId="0" fontId="27" fillId="28" borderId="27" xfId="0" applyFont="1" applyFill="1" applyBorder="1" applyAlignment="1" applyProtection="1">
      <alignment horizontal="center" vertical="center" wrapText="1"/>
    </xf>
    <xf numFmtId="0" fontId="27" fillId="28" borderId="28" xfId="0" applyFont="1" applyFill="1" applyBorder="1" applyAlignment="1" applyProtection="1">
      <alignment horizontal="center" vertical="center" wrapText="1"/>
    </xf>
    <xf numFmtId="0" fontId="27" fillId="28" borderId="29" xfId="0" applyFont="1" applyFill="1" applyBorder="1" applyAlignment="1" applyProtection="1">
      <alignment horizontal="center" vertical="center" wrapText="1"/>
    </xf>
    <xf numFmtId="0" fontId="27" fillId="28" borderId="15" xfId="0" applyFont="1" applyFill="1" applyBorder="1" applyAlignment="1" applyProtection="1">
      <alignment horizontal="center" vertical="center" wrapText="1"/>
    </xf>
    <xf numFmtId="0" fontId="27" fillId="27" borderId="13" xfId="0" applyFont="1" applyFill="1" applyBorder="1" applyAlignment="1">
      <alignment horizontal="center" vertical="center"/>
    </xf>
    <xf numFmtId="0" fontId="27" fillId="27" borderId="12" xfId="0" applyFont="1" applyFill="1" applyBorder="1" applyAlignment="1">
      <alignment horizontal="center" vertical="center"/>
    </xf>
    <xf numFmtId="0" fontId="27" fillId="26" borderId="0" xfId="0" applyFont="1" applyFill="1" applyBorder="1" applyAlignment="1" applyProtection="1">
      <alignment horizontal="center" vertical="center"/>
    </xf>
    <xf numFmtId="0" fontId="43" fillId="25" borderId="0" xfId="0" applyFont="1" applyFill="1" applyBorder="1" applyAlignment="1" applyProtection="1">
      <alignment horizontal="left" vertical="center" wrapText="1"/>
    </xf>
    <xf numFmtId="0" fontId="44" fillId="25" borderId="0" xfId="0" applyFont="1" applyFill="1" applyBorder="1" applyAlignment="1" applyProtection="1">
      <alignment horizontal="justify" vertical="center" wrapText="1"/>
    </xf>
    <xf numFmtId="0" fontId="27" fillId="25" borderId="0" xfId="0" applyFont="1" applyFill="1" applyBorder="1" applyAlignment="1" applyProtection="1">
      <alignment horizontal="justify" vertical="center" wrapText="1"/>
    </xf>
    <xf numFmtId="0" fontId="20" fillId="30" borderId="13" xfId="0" applyFont="1" applyFill="1" applyBorder="1" applyAlignment="1" applyProtection="1">
      <alignment horizontal="left" vertical="center" wrapText="1"/>
    </xf>
    <xf numFmtId="0" fontId="20" fillId="30" borderId="12" xfId="0" applyFont="1" applyFill="1" applyBorder="1" applyAlignment="1" applyProtection="1">
      <alignment horizontal="left" vertical="center" wrapText="1"/>
    </xf>
    <xf numFmtId="0" fontId="27" fillId="27" borderId="22" xfId="0" applyFont="1" applyFill="1" applyBorder="1" applyAlignment="1" applyProtection="1">
      <alignment horizontal="left" vertical="center" wrapText="1"/>
    </xf>
    <xf numFmtId="0" fontId="27" fillId="27" borderId="16" xfId="0" applyFont="1" applyFill="1" applyBorder="1" applyAlignment="1" applyProtection="1">
      <alignment horizontal="left" vertical="center" wrapText="1"/>
    </xf>
    <xf numFmtId="0" fontId="27" fillId="27" borderId="31" xfId="0" applyFont="1" applyFill="1" applyBorder="1" applyAlignment="1" applyProtection="1">
      <alignment horizontal="left" vertical="center" wrapText="1"/>
    </xf>
    <xf numFmtId="0" fontId="27" fillId="28" borderId="13" xfId="0" applyFont="1" applyFill="1" applyBorder="1" applyAlignment="1" applyProtection="1">
      <alignment horizontal="center" vertical="center"/>
    </xf>
    <xf numFmtId="0" fontId="27" fillId="28" borderId="12" xfId="0" applyFont="1" applyFill="1" applyBorder="1" applyAlignment="1" applyProtection="1">
      <alignment horizontal="center" vertical="center"/>
    </xf>
    <xf numFmtId="0" fontId="34" fillId="25" borderId="16" xfId="0" applyFont="1" applyFill="1" applyBorder="1" applyAlignment="1" applyProtection="1">
      <alignment horizontal="center" vertical="center"/>
    </xf>
  </cellXfs>
  <cellStyles count="46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Moeda" xfId="43" builtinId="4"/>
    <cellStyle name="Neutra" xfId="31" builtinId="28" customBuiltin="1"/>
    <cellStyle name="Normal" xfId="0" builtinId="0"/>
    <cellStyle name="Nota" xfId="32" builtinId="10" customBuiltin="1"/>
    <cellStyle name="Porcentagem" xfId="44" builtinId="5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/>
    <cellStyle name="Título 1 1 1" xfId="38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  <cellStyle name="Vírgula" xfId="4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nat/Downloads/Planilha%20materiais%20-%20uniformes%20VERS&#195;O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amentos - material"/>
      <sheetName val="Uniforme"/>
    </sheetNames>
    <sheetDataSet>
      <sheetData sheetId="0">
        <row r="7">
          <cell r="H7">
            <v>8.0908333333333342</v>
          </cell>
        </row>
        <row r="24">
          <cell r="H24">
            <v>77.402833333333334</v>
          </cell>
        </row>
      </sheetData>
      <sheetData sheetId="1">
        <row r="19">
          <cell r="F19">
            <v>244.70999999999998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89"/>
  <sheetViews>
    <sheetView topLeftCell="A16" workbookViewId="0">
      <selection activeCell="F73" sqref="F73"/>
    </sheetView>
  </sheetViews>
  <sheetFormatPr defaultColWidth="9.109375" defaultRowHeight="16.8" x14ac:dyDescent="0.4"/>
  <cols>
    <col min="1" max="1" width="2.6640625" style="13" customWidth="1"/>
    <col min="2" max="2" width="8.88671875" style="13" customWidth="1"/>
    <col min="3" max="3" width="52.5546875" style="19" customWidth="1"/>
    <col min="4" max="4" width="7.88671875" style="19" customWidth="1"/>
    <col min="5" max="5" width="13.5546875" style="19" customWidth="1"/>
    <col min="6" max="6" width="12.6640625" style="19" customWidth="1"/>
    <col min="7" max="16384" width="9.109375" style="13"/>
  </cols>
  <sheetData>
    <row r="1" spans="1:6" ht="20.399999999999999" x14ac:dyDescent="0.45">
      <c r="B1" s="278" t="s">
        <v>242</v>
      </c>
      <c r="C1" s="279"/>
      <c r="D1" s="279"/>
      <c r="E1" s="279"/>
      <c r="F1" s="280"/>
    </row>
    <row r="2" spans="1:6" ht="20.399999999999999" x14ac:dyDescent="0.45">
      <c r="B2" s="278" t="s">
        <v>243</v>
      </c>
      <c r="C2" s="279"/>
      <c r="D2" s="280"/>
      <c r="E2" s="136" t="s">
        <v>57</v>
      </c>
      <c r="F2" s="92" t="s">
        <v>198</v>
      </c>
    </row>
    <row r="3" spans="1:6" s="98" customFormat="1" ht="24.6" x14ac:dyDescent="0.55000000000000004">
      <c r="B3" s="281" t="s">
        <v>111</v>
      </c>
      <c r="C3" s="281"/>
      <c r="D3" s="281"/>
      <c r="E3" s="281"/>
      <c r="F3" s="281"/>
    </row>
    <row r="4" spans="1:6" s="98" customFormat="1" ht="15.9" customHeight="1" x14ac:dyDescent="0.4">
      <c r="B4" s="282" t="s">
        <v>97</v>
      </c>
      <c r="C4" s="282"/>
      <c r="D4" s="282"/>
      <c r="E4" s="282"/>
      <c r="F4" s="282"/>
    </row>
    <row r="5" spans="1:6" s="98" customFormat="1" ht="15.9" customHeight="1" x14ac:dyDescent="0.4">
      <c r="B5" s="285" t="s">
        <v>33</v>
      </c>
      <c r="C5" s="285"/>
      <c r="D5" s="286" t="s">
        <v>233</v>
      </c>
      <c r="E5" s="286"/>
      <c r="F5" s="286"/>
    </row>
    <row r="6" spans="1:6" s="98" customFormat="1" ht="15.75" customHeight="1" x14ac:dyDescent="0.4">
      <c r="B6" s="289" t="s">
        <v>34</v>
      </c>
      <c r="C6" s="289"/>
      <c r="D6" s="290" t="s">
        <v>35</v>
      </c>
      <c r="E6" s="290"/>
      <c r="F6" s="24" t="s">
        <v>199</v>
      </c>
    </row>
    <row r="7" spans="1:6" s="98" customFormat="1" ht="15.75" customHeight="1" x14ac:dyDescent="0.4">
      <c r="B7" s="285" t="s">
        <v>113</v>
      </c>
      <c r="C7" s="285"/>
      <c r="D7" s="287" t="s">
        <v>198</v>
      </c>
      <c r="E7" s="288"/>
      <c r="F7" s="24" t="s">
        <v>200</v>
      </c>
    </row>
    <row r="8" spans="1:6" s="99" customFormat="1" ht="9.75" customHeight="1" x14ac:dyDescent="0.4">
      <c r="C8" s="11"/>
      <c r="D8" s="100"/>
      <c r="E8" s="100"/>
      <c r="F8" s="101"/>
    </row>
    <row r="9" spans="1:6" s="99" customFormat="1" ht="15.75" customHeight="1" x14ac:dyDescent="0.4">
      <c r="B9" s="282" t="s">
        <v>112</v>
      </c>
      <c r="C9" s="282"/>
      <c r="D9" s="282"/>
      <c r="E9" s="282"/>
      <c r="F9" s="282"/>
    </row>
    <row r="10" spans="1:6" s="98" customFormat="1" ht="18" customHeight="1" x14ac:dyDescent="0.4">
      <c r="B10" s="25" t="s">
        <v>2</v>
      </c>
      <c r="C10" s="285" t="s">
        <v>63</v>
      </c>
      <c r="D10" s="285"/>
      <c r="E10" s="285"/>
      <c r="F10" s="26" t="s">
        <v>198</v>
      </c>
    </row>
    <row r="11" spans="1:6" s="98" customFormat="1" ht="15.9" customHeight="1" x14ac:dyDescent="0.25">
      <c r="B11" s="1" t="s">
        <v>3</v>
      </c>
      <c r="C11" s="67" t="s">
        <v>36</v>
      </c>
      <c r="D11" s="291" t="s">
        <v>266</v>
      </c>
      <c r="E11" s="291"/>
      <c r="F11" s="291"/>
    </row>
    <row r="12" spans="1:6" s="98" customFormat="1" ht="15.9" customHeight="1" x14ac:dyDescent="0.4">
      <c r="B12" s="25" t="s">
        <v>4</v>
      </c>
      <c r="C12" s="285" t="s">
        <v>182</v>
      </c>
      <c r="D12" s="285"/>
      <c r="E12" s="285"/>
      <c r="F12" s="72" t="s">
        <v>168</v>
      </c>
    </row>
    <row r="13" spans="1:6" s="98" customFormat="1" ht="18.75" customHeight="1" x14ac:dyDescent="0.4">
      <c r="B13" s="1" t="s">
        <v>5</v>
      </c>
      <c r="C13" s="292" t="s">
        <v>37</v>
      </c>
      <c r="D13" s="293"/>
      <c r="E13" s="294"/>
      <c r="F13" s="24" t="s">
        <v>235</v>
      </c>
    </row>
    <row r="14" spans="1:6" s="98" customFormat="1" ht="15.9" customHeight="1" x14ac:dyDescent="0.4">
      <c r="B14" s="1" t="s">
        <v>6</v>
      </c>
      <c r="C14" s="285" t="s">
        <v>64</v>
      </c>
      <c r="D14" s="285"/>
      <c r="E14" s="285"/>
      <c r="F14" s="102">
        <v>12</v>
      </c>
    </row>
    <row r="15" spans="1:6" s="98" customFormat="1" ht="15.9" customHeight="1" x14ac:dyDescent="0.4">
      <c r="A15" s="99"/>
      <c r="B15" s="99"/>
      <c r="C15" s="11"/>
      <c r="D15" s="100"/>
      <c r="E15" s="100"/>
      <c r="F15" s="101"/>
    </row>
    <row r="16" spans="1:6" s="98" customFormat="1" x14ac:dyDescent="0.4">
      <c r="A16" s="99"/>
      <c r="B16" s="282" t="s">
        <v>114</v>
      </c>
      <c r="C16" s="282"/>
      <c r="D16" s="282"/>
      <c r="E16" s="282"/>
      <c r="F16" s="282"/>
    </row>
    <row r="17" spans="1:6" s="103" customFormat="1" ht="33.6" x14ac:dyDescent="0.25">
      <c r="B17" s="96" t="s">
        <v>188</v>
      </c>
      <c r="C17" s="96" t="s">
        <v>28</v>
      </c>
      <c r="D17" s="283" t="s">
        <v>115</v>
      </c>
      <c r="E17" s="284"/>
      <c r="F17" s="66" t="s">
        <v>116</v>
      </c>
    </row>
    <row r="18" spans="1:6" s="98" customFormat="1" ht="16.5" customHeight="1" x14ac:dyDescent="0.4">
      <c r="B18" s="25">
        <v>1</v>
      </c>
      <c r="C18" s="130" t="s">
        <v>287</v>
      </c>
      <c r="D18" s="239" t="s">
        <v>187</v>
      </c>
      <c r="E18" s="240"/>
      <c r="F18" s="94">
        <v>8</v>
      </c>
    </row>
    <row r="19" spans="1:6" s="98" customFormat="1" ht="16.5" customHeight="1" x14ac:dyDescent="0.4">
      <c r="B19" s="25">
        <v>2</v>
      </c>
      <c r="C19" s="131" t="s">
        <v>288</v>
      </c>
      <c r="D19" s="241" t="s">
        <v>187</v>
      </c>
      <c r="E19" s="242"/>
      <c r="F19" s="84">
        <v>7</v>
      </c>
    </row>
    <row r="20" spans="1:6" s="99" customFormat="1" ht="16.5" customHeight="1" x14ac:dyDescent="0.4">
      <c r="A20" s="98"/>
      <c r="B20" s="25">
        <v>3</v>
      </c>
      <c r="C20" s="130" t="s">
        <v>289</v>
      </c>
      <c r="D20" s="239" t="s">
        <v>187</v>
      </c>
      <c r="E20" s="240"/>
      <c r="F20" s="94">
        <v>5</v>
      </c>
    </row>
    <row r="21" spans="1:6" s="99" customFormat="1" ht="16.5" customHeight="1" x14ac:dyDescent="0.4">
      <c r="A21" s="98"/>
      <c r="B21" s="25">
        <v>4</v>
      </c>
      <c r="C21" s="131" t="s">
        <v>290</v>
      </c>
      <c r="D21" s="241" t="s">
        <v>187</v>
      </c>
      <c r="E21" s="242"/>
      <c r="F21" s="84">
        <v>2</v>
      </c>
    </row>
    <row r="22" spans="1:6" s="99" customFormat="1" ht="16.5" customHeight="1" x14ac:dyDescent="0.4">
      <c r="A22" s="98"/>
      <c r="B22" s="25">
        <v>5</v>
      </c>
      <c r="C22" s="130" t="s">
        <v>291</v>
      </c>
      <c r="D22" s="239" t="s">
        <v>187</v>
      </c>
      <c r="E22" s="240"/>
      <c r="F22" s="94">
        <v>2</v>
      </c>
    </row>
    <row r="23" spans="1:6" s="99" customFormat="1" ht="16.5" customHeight="1" x14ac:dyDescent="0.4">
      <c r="A23" s="98"/>
      <c r="B23" s="25">
        <v>6</v>
      </c>
      <c r="C23" s="131" t="s">
        <v>292</v>
      </c>
      <c r="D23" s="241" t="s">
        <v>187</v>
      </c>
      <c r="E23" s="242"/>
      <c r="F23" s="84">
        <v>2</v>
      </c>
    </row>
    <row r="24" spans="1:6" s="99" customFormat="1" ht="16.5" customHeight="1" x14ac:dyDescent="0.4">
      <c r="A24" s="98"/>
      <c r="B24" s="25">
        <v>7</v>
      </c>
      <c r="C24" s="130" t="s">
        <v>293</v>
      </c>
      <c r="D24" s="239" t="s">
        <v>187</v>
      </c>
      <c r="E24" s="240"/>
      <c r="F24" s="94">
        <v>2</v>
      </c>
    </row>
    <row r="25" spans="1:6" s="99" customFormat="1" ht="16.5" customHeight="1" x14ac:dyDescent="0.4">
      <c r="A25" s="98"/>
      <c r="B25" s="25">
        <v>8</v>
      </c>
      <c r="C25" s="131" t="s">
        <v>294</v>
      </c>
      <c r="D25" s="241" t="s">
        <v>187</v>
      </c>
      <c r="E25" s="242"/>
      <c r="F25" s="84">
        <v>2</v>
      </c>
    </row>
    <row r="26" spans="1:6" s="99" customFormat="1" ht="16.5" customHeight="1" x14ac:dyDescent="0.4">
      <c r="A26" s="98"/>
      <c r="B26" s="25">
        <v>9</v>
      </c>
      <c r="C26" s="130" t="s">
        <v>295</v>
      </c>
      <c r="D26" s="239" t="s">
        <v>187</v>
      </c>
      <c r="E26" s="240"/>
      <c r="F26" s="94">
        <v>2</v>
      </c>
    </row>
    <row r="27" spans="1:6" s="99" customFormat="1" ht="16.5" customHeight="1" x14ac:dyDescent="0.4">
      <c r="A27" s="98"/>
      <c r="B27" s="25">
        <v>10</v>
      </c>
      <c r="C27" s="131" t="s">
        <v>296</v>
      </c>
      <c r="D27" s="241" t="s">
        <v>187</v>
      </c>
      <c r="E27" s="242"/>
      <c r="F27" s="84">
        <v>2</v>
      </c>
    </row>
    <row r="28" spans="1:6" s="99" customFormat="1" ht="16.5" customHeight="1" x14ac:dyDescent="0.4">
      <c r="A28" s="98"/>
      <c r="B28" s="25">
        <v>11</v>
      </c>
      <c r="C28" s="130" t="s">
        <v>297</v>
      </c>
      <c r="D28" s="239" t="s">
        <v>187</v>
      </c>
      <c r="E28" s="240"/>
      <c r="F28" s="94">
        <v>2</v>
      </c>
    </row>
    <row r="29" spans="1:6" s="99" customFormat="1" ht="16.5" customHeight="1" x14ac:dyDescent="0.4">
      <c r="A29" s="98"/>
      <c r="B29" s="25">
        <v>12</v>
      </c>
      <c r="C29" s="131" t="s">
        <v>298</v>
      </c>
      <c r="D29" s="241" t="s">
        <v>187</v>
      </c>
      <c r="E29" s="242"/>
      <c r="F29" s="84">
        <v>2</v>
      </c>
    </row>
    <row r="30" spans="1:6" s="99" customFormat="1" ht="16.5" customHeight="1" x14ac:dyDescent="0.4">
      <c r="A30" s="98"/>
      <c r="B30" s="25">
        <v>13</v>
      </c>
      <c r="C30" s="130" t="s">
        <v>299</v>
      </c>
      <c r="D30" s="239" t="s">
        <v>187</v>
      </c>
      <c r="E30" s="240"/>
      <c r="F30" s="94">
        <v>2</v>
      </c>
    </row>
    <row r="31" spans="1:6" s="99" customFormat="1" ht="16.5" customHeight="1" x14ac:dyDescent="0.4">
      <c r="A31" s="98"/>
      <c r="B31" s="25">
        <v>14</v>
      </c>
      <c r="C31" s="131" t="s">
        <v>300</v>
      </c>
      <c r="D31" s="241" t="s">
        <v>187</v>
      </c>
      <c r="E31" s="242"/>
      <c r="F31" s="84">
        <v>2</v>
      </c>
    </row>
    <row r="32" spans="1:6" s="99" customFormat="1" ht="16.5" customHeight="1" x14ac:dyDescent="0.4">
      <c r="A32" s="98"/>
      <c r="B32" s="25">
        <v>15</v>
      </c>
      <c r="C32" s="130" t="s">
        <v>301</v>
      </c>
      <c r="D32" s="239" t="s">
        <v>187</v>
      </c>
      <c r="E32" s="240"/>
      <c r="F32" s="94">
        <v>2</v>
      </c>
    </row>
    <row r="33" spans="1:6" s="99" customFormat="1" ht="16.5" customHeight="1" x14ac:dyDescent="0.4">
      <c r="A33" s="98"/>
      <c r="B33" s="25">
        <v>16</v>
      </c>
      <c r="C33" s="131" t="s">
        <v>302</v>
      </c>
      <c r="D33" s="241" t="s">
        <v>187</v>
      </c>
      <c r="E33" s="242"/>
      <c r="F33" s="84">
        <v>2</v>
      </c>
    </row>
    <row r="34" spans="1:6" s="99" customFormat="1" ht="16.5" customHeight="1" x14ac:dyDescent="0.4">
      <c r="A34" s="98"/>
      <c r="B34" s="25">
        <v>17</v>
      </c>
      <c r="C34" s="130" t="s">
        <v>303</v>
      </c>
      <c r="D34" s="239" t="s">
        <v>187</v>
      </c>
      <c r="E34" s="240"/>
      <c r="F34" s="94">
        <v>2</v>
      </c>
    </row>
    <row r="35" spans="1:6" s="99" customFormat="1" ht="16.5" customHeight="1" x14ac:dyDescent="0.4">
      <c r="A35" s="98"/>
      <c r="B35" s="25">
        <v>18</v>
      </c>
      <c r="C35" s="131" t="s">
        <v>304</v>
      </c>
      <c r="D35" s="241" t="s">
        <v>187</v>
      </c>
      <c r="E35" s="242"/>
      <c r="F35" s="84">
        <v>2</v>
      </c>
    </row>
    <row r="36" spans="1:6" s="99" customFormat="1" ht="16.5" customHeight="1" x14ac:dyDescent="0.4">
      <c r="A36" s="98"/>
      <c r="B36" s="25">
        <v>19</v>
      </c>
      <c r="C36" s="130" t="s">
        <v>307</v>
      </c>
      <c r="D36" s="239" t="s">
        <v>187</v>
      </c>
      <c r="E36" s="240"/>
      <c r="F36" s="94">
        <v>2</v>
      </c>
    </row>
    <row r="37" spans="1:6" s="99" customFormat="1" ht="16.5" customHeight="1" x14ac:dyDescent="0.4">
      <c r="A37" s="98"/>
      <c r="B37" s="25">
        <v>20</v>
      </c>
      <c r="C37" s="131" t="s">
        <v>305</v>
      </c>
      <c r="D37" s="241" t="s">
        <v>187</v>
      </c>
      <c r="E37" s="242"/>
      <c r="F37" s="84">
        <v>1</v>
      </c>
    </row>
    <row r="38" spans="1:6" s="99" customFormat="1" ht="16.5" customHeight="1" x14ac:dyDescent="0.4">
      <c r="A38" s="98"/>
      <c r="B38" s="25">
        <v>21</v>
      </c>
      <c r="C38" s="130" t="s">
        <v>306</v>
      </c>
      <c r="D38" s="239" t="s">
        <v>187</v>
      </c>
      <c r="E38" s="240"/>
      <c r="F38" s="94">
        <v>1</v>
      </c>
    </row>
    <row r="39" spans="1:6" s="99" customFormat="1" ht="16.5" customHeight="1" x14ac:dyDescent="0.4">
      <c r="A39" s="98"/>
      <c r="B39" s="238" t="s">
        <v>308</v>
      </c>
      <c r="C39" s="238"/>
      <c r="D39" s="238"/>
      <c r="E39" s="238"/>
      <c r="F39" s="222">
        <f>SUM(F18:F38)</f>
        <v>54</v>
      </c>
    </row>
    <row r="40" spans="1:6" s="98" customFormat="1" ht="15.9" customHeight="1" x14ac:dyDescent="0.4">
      <c r="B40" s="104"/>
      <c r="C40" s="104"/>
      <c r="D40" s="104"/>
      <c r="E40" s="104"/>
      <c r="F40" s="104"/>
    </row>
    <row r="41" spans="1:6" s="98" customFormat="1" ht="15" customHeight="1" x14ac:dyDescent="0.4">
      <c r="B41" s="282" t="s">
        <v>117</v>
      </c>
      <c r="C41" s="282"/>
      <c r="D41" s="282"/>
      <c r="E41" s="282"/>
      <c r="F41" s="282"/>
    </row>
    <row r="42" spans="1:6" s="98" customFormat="1" ht="15" customHeight="1" x14ac:dyDescent="0.4">
      <c r="B42" s="25">
        <v>1</v>
      </c>
      <c r="C42" s="243" t="s">
        <v>60</v>
      </c>
      <c r="D42" s="243"/>
      <c r="E42" s="247" t="s">
        <v>138</v>
      </c>
      <c r="F42" s="247"/>
    </row>
    <row r="43" spans="1:6" s="98" customFormat="1" ht="15" customHeight="1" x14ac:dyDescent="0.4">
      <c r="A43" s="99"/>
      <c r="B43" s="25">
        <v>2</v>
      </c>
      <c r="C43" s="27" t="s">
        <v>59</v>
      </c>
      <c r="D43" s="246" t="s">
        <v>207</v>
      </c>
      <c r="E43" s="246"/>
      <c r="F43" s="246"/>
    </row>
    <row r="44" spans="1:6" s="98" customFormat="1" ht="15.9" customHeight="1" x14ac:dyDescent="0.4">
      <c r="B44" s="25">
        <v>3</v>
      </c>
      <c r="C44" s="56" t="s">
        <v>61</v>
      </c>
      <c r="D44" s="247" t="s">
        <v>208</v>
      </c>
      <c r="E44" s="247"/>
      <c r="F44" s="247"/>
    </row>
    <row r="45" spans="1:6" s="98" customFormat="1" ht="15.9" customHeight="1" x14ac:dyDescent="0.4">
      <c r="B45" s="25">
        <v>4</v>
      </c>
      <c r="C45" s="248" t="s">
        <v>62</v>
      </c>
      <c r="D45" s="248"/>
      <c r="E45" s="248"/>
      <c r="F45" s="26">
        <v>43831</v>
      </c>
    </row>
    <row r="46" spans="1:6" s="98" customFormat="1" ht="15.9" customHeight="1" x14ac:dyDescent="0.4">
      <c r="B46" s="25">
        <v>5</v>
      </c>
      <c r="C46" s="243" t="s">
        <v>139</v>
      </c>
      <c r="D46" s="243"/>
      <c r="E46" s="243"/>
      <c r="F46" s="68">
        <v>1045</v>
      </c>
    </row>
    <row r="47" spans="1:6" s="98" customFormat="1" ht="24.6" x14ac:dyDescent="0.55000000000000004">
      <c r="B47" s="106" t="s">
        <v>205</v>
      </c>
      <c r="C47" s="13"/>
      <c r="D47" s="13"/>
      <c r="E47" s="13"/>
      <c r="F47" s="13"/>
    </row>
    <row r="48" spans="1:6" x14ac:dyDescent="0.4">
      <c r="B48" s="51" t="s">
        <v>8</v>
      </c>
      <c r="E48" s="14"/>
      <c r="F48" s="14"/>
    </row>
    <row r="49" spans="1:7" x14ac:dyDescent="0.4">
      <c r="B49" s="1">
        <v>1</v>
      </c>
      <c r="C49" s="250" t="s">
        <v>9</v>
      </c>
      <c r="D49" s="250"/>
      <c r="E49" s="250"/>
      <c r="F49" s="4" t="s">
        <v>122</v>
      </c>
    </row>
    <row r="50" spans="1:7" x14ac:dyDescent="0.4">
      <c r="B50" s="1" t="s">
        <v>2</v>
      </c>
      <c r="C50" s="249" t="s">
        <v>91</v>
      </c>
      <c r="D50" s="249"/>
      <c r="E50" s="249"/>
      <c r="F50" s="85">
        <v>1401.07</v>
      </c>
    </row>
    <row r="51" spans="1:7" x14ac:dyDescent="0.4">
      <c r="B51" s="1" t="s">
        <v>3</v>
      </c>
      <c r="C51" s="251" t="s">
        <v>82</v>
      </c>
      <c r="D51" s="252"/>
      <c r="E51" s="253"/>
      <c r="F51" s="86">
        <v>30</v>
      </c>
    </row>
    <row r="52" spans="1:7" x14ac:dyDescent="0.4">
      <c r="B52" s="1" t="s">
        <v>4</v>
      </c>
      <c r="C52" s="249" t="s">
        <v>84</v>
      </c>
      <c r="D52" s="249"/>
      <c r="E52" s="249"/>
      <c r="F52" s="86">
        <v>20</v>
      </c>
    </row>
    <row r="53" spans="1:7" x14ac:dyDescent="0.4">
      <c r="B53" s="1" t="s">
        <v>5</v>
      </c>
      <c r="C53" s="254" t="s">
        <v>237</v>
      </c>
      <c r="D53" s="254"/>
      <c r="E53" s="254"/>
      <c r="F53" s="85"/>
    </row>
    <row r="54" spans="1:7" x14ac:dyDescent="0.4">
      <c r="B54" s="1" t="s">
        <v>6</v>
      </c>
      <c r="C54" s="254" t="s">
        <v>239</v>
      </c>
      <c r="D54" s="254"/>
      <c r="E54" s="254"/>
      <c r="F54" s="85"/>
    </row>
    <row r="55" spans="1:7" s="107" customFormat="1" x14ac:dyDescent="0.4">
      <c r="A55" s="13"/>
      <c r="B55" s="51" t="s">
        <v>71</v>
      </c>
      <c r="C55" s="99"/>
      <c r="D55" s="99"/>
      <c r="E55" s="99"/>
      <c r="F55" s="99"/>
    </row>
    <row r="56" spans="1:7" s="107" customFormat="1" ht="15" customHeight="1" x14ac:dyDescent="0.4">
      <c r="A56" s="13"/>
      <c r="B56" s="1" t="s">
        <v>90</v>
      </c>
      <c r="C56" s="244" t="s">
        <v>14</v>
      </c>
      <c r="D56" s="245"/>
      <c r="E56" s="4" t="s">
        <v>38</v>
      </c>
      <c r="F56" s="4" t="s">
        <v>123</v>
      </c>
    </row>
    <row r="57" spans="1:7" s="107" customFormat="1" x14ac:dyDescent="0.4">
      <c r="A57" s="13"/>
      <c r="B57" s="97" t="s">
        <v>2</v>
      </c>
      <c r="C57" s="243" t="s">
        <v>15</v>
      </c>
      <c r="D57" s="243"/>
      <c r="E57" s="111" t="s">
        <v>39</v>
      </c>
      <c r="F57" s="32">
        <f>3.6*2</f>
        <v>7.2</v>
      </c>
    </row>
    <row r="58" spans="1:7" s="107" customFormat="1" x14ac:dyDescent="0.4">
      <c r="B58" s="97" t="s">
        <v>3</v>
      </c>
      <c r="C58" s="248" t="s">
        <v>70</v>
      </c>
      <c r="D58" s="248"/>
      <c r="E58" s="112" t="s">
        <v>39</v>
      </c>
      <c r="F58" s="32">
        <v>26</v>
      </c>
      <c r="G58" s="232"/>
    </row>
    <row r="59" spans="1:7" x14ac:dyDescent="0.4">
      <c r="B59" s="132" t="s">
        <v>4</v>
      </c>
      <c r="C59" s="255" t="s">
        <v>240</v>
      </c>
      <c r="D59" s="256"/>
      <c r="E59" s="93"/>
      <c r="F59" s="85"/>
    </row>
    <row r="60" spans="1:7" x14ac:dyDescent="0.4">
      <c r="B60" s="132" t="s">
        <v>5</v>
      </c>
      <c r="C60" s="255" t="s">
        <v>241</v>
      </c>
      <c r="D60" s="256"/>
      <c r="E60" s="93"/>
      <c r="F60" s="85"/>
    </row>
    <row r="61" spans="1:7" x14ac:dyDescent="0.4">
      <c r="B61" s="132" t="s">
        <v>6</v>
      </c>
      <c r="C61" s="255" t="s">
        <v>234</v>
      </c>
      <c r="D61" s="256"/>
      <c r="E61" s="93"/>
      <c r="F61" s="85"/>
    </row>
    <row r="62" spans="1:7" s="98" customFormat="1" x14ac:dyDescent="0.4">
      <c r="B62" s="51" t="s">
        <v>73</v>
      </c>
      <c r="C62" s="12"/>
      <c r="D62" s="22"/>
      <c r="E62" s="13"/>
      <c r="F62" s="13"/>
    </row>
    <row r="63" spans="1:7" s="98" customFormat="1" ht="15" customHeight="1" x14ac:dyDescent="0.4">
      <c r="B63" s="51" t="s">
        <v>102</v>
      </c>
      <c r="C63" s="12"/>
      <c r="D63" s="22"/>
      <c r="E63" s="20"/>
      <c r="F63" s="20"/>
    </row>
    <row r="64" spans="1:7" s="98" customFormat="1" x14ac:dyDescent="0.25">
      <c r="B64" s="1" t="s">
        <v>18</v>
      </c>
      <c r="C64" s="257" t="s">
        <v>103</v>
      </c>
      <c r="D64" s="258"/>
      <c r="E64" s="259"/>
      <c r="F64" s="4" t="s">
        <v>1</v>
      </c>
    </row>
    <row r="65" spans="1:6" x14ac:dyDescent="0.4">
      <c r="A65" s="98"/>
      <c r="B65" s="2" t="s">
        <v>2</v>
      </c>
      <c r="C65" s="265" t="s">
        <v>201</v>
      </c>
      <c r="D65" s="266"/>
      <c r="E65" s="267"/>
      <c r="F65" s="87"/>
    </row>
    <row r="66" spans="1:6" x14ac:dyDescent="0.4">
      <c r="B66" s="51" t="s">
        <v>226</v>
      </c>
      <c r="C66" s="12"/>
      <c r="D66" s="22"/>
      <c r="E66" s="20"/>
      <c r="F66" s="20"/>
    </row>
    <row r="67" spans="1:6" x14ac:dyDescent="0.4">
      <c r="B67" s="1" t="s">
        <v>19</v>
      </c>
      <c r="C67" s="260" t="s">
        <v>225</v>
      </c>
      <c r="D67" s="260"/>
      <c r="E67" s="260"/>
      <c r="F67" s="4" t="s">
        <v>221</v>
      </c>
    </row>
    <row r="68" spans="1:6" x14ac:dyDescent="0.4">
      <c r="B68" s="1" t="s">
        <v>2</v>
      </c>
      <c r="C68" s="249" t="s">
        <v>126</v>
      </c>
      <c r="D68" s="249"/>
      <c r="E68" s="249"/>
      <c r="F68" s="86">
        <v>50</v>
      </c>
    </row>
    <row r="69" spans="1:6" ht="15" customHeight="1" x14ac:dyDescent="0.4">
      <c r="B69" s="1" t="s">
        <v>3</v>
      </c>
      <c r="C69" s="251" t="s">
        <v>282</v>
      </c>
      <c r="D69" s="252"/>
      <c r="E69" s="253"/>
      <c r="F69" s="86">
        <v>60</v>
      </c>
    </row>
    <row r="70" spans="1:6" ht="15" customHeight="1" x14ac:dyDescent="0.4">
      <c r="B70" s="148" t="s">
        <v>284</v>
      </c>
      <c r="C70" s="251" t="s">
        <v>283</v>
      </c>
      <c r="D70" s="252"/>
      <c r="E70" s="253"/>
      <c r="F70" s="220">
        <v>60</v>
      </c>
    </row>
    <row r="71" spans="1:6" x14ac:dyDescent="0.4">
      <c r="B71" s="51" t="s">
        <v>77</v>
      </c>
      <c r="C71" s="12"/>
      <c r="D71" s="12"/>
      <c r="E71" s="20"/>
      <c r="F71" s="20"/>
    </row>
    <row r="72" spans="1:6" ht="15.75" customHeight="1" x14ac:dyDescent="0.4">
      <c r="B72" s="49">
        <v>5</v>
      </c>
      <c r="C72" s="271" t="s">
        <v>0</v>
      </c>
      <c r="D72" s="271"/>
      <c r="E72" s="271"/>
      <c r="F72" s="50" t="s">
        <v>13</v>
      </c>
    </row>
    <row r="73" spans="1:6" x14ac:dyDescent="0.4">
      <c r="B73" s="44" t="s">
        <v>2</v>
      </c>
      <c r="C73" s="272" t="s">
        <v>16</v>
      </c>
      <c r="D73" s="272"/>
      <c r="E73" s="272"/>
      <c r="F73" s="88">
        <f>[1]Uniforme!$F$19</f>
        <v>244.71</v>
      </c>
    </row>
    <row r="74" spans="1:6" x14ac:dyDescent="0.4">
      <c r="B74" s="44" t="s">
        <v>3</v>
      </c>
      <c r="C74" s="273" t="s">
        <v>260</v>
      </c>
      <c r="D74" s="273"/>
      <c r="E74" s="273"/>
      <c r="F74" s="88">
        <f>'[1]Equipamentos - material'!$H$24</f>
        <v>77.400000000000006</v>
      </c>
    </row>
    <row r="75" spans="1:6" s="108" customFormat="1" x14ac:dyDescent="0.4">
      <c r="A75" s="13"/>
      <c r="B75" s="44" t="s">
        <v>4</v>
      </c>
      <c r="C75" s="272" t="s">
        <v>259</v>
      </c>
      <c r="D75" s="272"/>
      <c r="E75" s="272"/>
      <c r="F75" s="88">
        <f>'[1]Equipamentos - material'!$H$7</f>
        <v>8.09</v>
      </c>
    </row>
    <row r="76" spans="1:6" s="108" customFormat="1" x14ac:dyDescent="0.4">
      <c r="A76" s="13"/>
      <c r="B76" s="44" t="s">
        <v>5</v>
      </c>
      <c r="C76" s="254" t="s">
        <v>86</v>
      </c>
      <c r="D76" s="254"/>
      <c r="E76" s="254"/>
      <c r="F76" s="85"/>
    </row>
    <row r="77" spans="1:6" s="109" customFormat="1" ht="16.5" customHeight="1" x14ac:dyDescent="0.4">
      <c r="A77" s="13"/>
      <c r="B77" s="264" t="s">
        <v>76</v>
      </c>
      <c r="C77" s="264"/>
      <c r="D77" s="264"/>
      <c r="E77" s="264"/>
      <c r="F77" s="264"/>
    </row>
    <row r="78" spans="1:6" s="110" customFormat="1" ht="16.5" customHeight="1" x14ac:dyDescent="0.4">
      <c r="A78" s="13"/>
      <c r="B78" s="1">
        <v>6</v>
      </c>
      <c r="C78" s="268" t="s">
        <v>20</v>
      </c>
      <c r="D78" s="269"/>
      <c r="E78" s="270"/>
      <c r="F78" s="4" t="s">
        <v>1</v>
      </c>
    </row>
    <row r="79" spans="1:6" s="110" customFormat="1" x14ac:dyDescent="0.4">
      <c r="A79" s="108"/>
      <c r="B79" s="1" t="s">
        <v>2</v>
      </c>
      <c r="C79" s="261" t="s">
        <v>78</v>
      </c>
      <c r="D79" s="262"/>
      <c r="E79" s="263"/>
      <c r="F79" s="93">
        <v>4.8499999999999996</v>
      </c>
    </row>
    <row r="80" spans="1:6" s="110" customFormat="1" x14ac:dyDescent="0.4">
      <c r="A80" s="108"/>
      <c r="B80" s="2" t="s">
        <v>3</v>
      </c>
      <c r="C80" s="251" t="s">
        <v>32</v>
      </c>
      <c r="D80" s="252"/>
      <c r="E80" s="253"/>
      <c r="F80" s="93">
        <v>5.45</v>
      </c>
    </row>
    <row r="81" spans="1:7" s="110" customFormat="1" x14ac:dyDescent="0.4">
      <c r="A81" s="109"/>
      <c r="B81" s="30" t="s">
        <v>79</v>
      </c>
      <c r="C81" s="261" t="s">
        <v>23</v>
      </c>
      <c r="D81" s="262"/>
      <c r="E81" s="263">
        <f>PERC_PIS</f>
        <v>0.65</v>
      </c>
      <c r="F81" s="93">
        <v>0.65</v>
      </c>
    </row>
    <row r="82" spans="1:7" x14ac:dyDescent="0.4">
      <c r="B82" s="30" t="s">
        <v>80</v>
      </c>
      <c r="C82" s="251" t="s">
        <v>24</v>
      </c>
      <c r="D82" s="252"/>
      <c r="E82" s="253">
        <f>PERC_COFINS</f>
        <v>3</v>
      </c>
      <c r="F82" s="93">
        <v>3</v>
      </c>
    </row>
    <row r="83" spans="1:7" x14ac:dyDescent="0.4">
      <c r="B83" s="30" t="s">
        <v>81</v>
      </c>
      <c r="C83" s="261" t="s">
        <v>25</v>
      </c>
      <c r="D83" s="262"/>
      <c r="E83" s="263">
        <f>PERC_ISS</f>
        <v>5</v>
      </c>
      <c r="F83" s="93">
        <v>5</v>
      </c>
    </row>
    <row r="84" spans="1:7" s="107" customFormat="1" ht="17.25" customHeight="1" x14ac:dyDescent="0.4">
      <c r="B84" s="264" t="s">
        <v>261</v>
      </c>
      <c r="C84" s="264"/>
      <c r="D84" s="264"/>
      <c r="E84" s="264"/>
      <c r="F84" s="264"/>
    </row>
    <row r="85" spans="1:7" s="107" customFormat="1" ht="17.25" customHeight="1" x14ac:dyDescent="0.4">
      <c r="B85" s="147" t="s">
        <v>2</v>
      </c>
      <c r="C85" s="275" t="s">
        <v>263</v>
      </c>
      <c r="D85" s="276"/>
      <c r="E85" s="277"/>
      <c r="F85" s="85">
        <f>(MOD_1_REMUNERACAO_12X36_DIU/220)*12*2/12/2</f>
        <v>8.2799999999999994</v>
      </c>
      <c r="G85" s="219" t="s">
        <v>279</v>
      </c>
    </row>
    <row r="86" spans="1:7" s="107" customFormat="1" ht="17.25" customHeight="1" x14ac:dyDescent="0.4">
      <c r="B86" s="147" t="s">
        <v>3</v>
      </c>
      <c r="C86" s="275" t="s">
        <v>264</v>
      </c>
      <c r="D86" s="276"/>
      <c r="E86" s="277"/>
      <c r="F86" s="85">
        <f>(MOD_1_REMUNERACAO_12X36_NOT/220)*13.47*2/12/2</f>
        <v>11.69</v>
      </c>
      <c r="G86" s="219" t="s">
        <v>280</v>
      </c>
    </row>
    <row r="87" spans="1:7" s="107" customFormat="1" ht="17.25" customHeight="1" x14ac:dyDescent="0.4">
      <c r="B87" s="147" t="s">
        <v>4</v>
      </c>
      <c r="C87" s="275" t="s">
        <v>262</v>
      </c>
      <c r="D87" s="276"/>
      <c r="E87" s="277"/>
      <c r="F87" s="85">
        <f>((MOD_1_REMUNERACAO_44H/220)*8.8*2/12)</f>
        <v>12.14</v>
      </c>
      <c r="G87" s="219" t="s">
        <v>281</v>
      </c>
    </row>
    <row r="88" spans="1:7" ht="20.399999999999999" x14ac:dyDescent="0.4">
      <c r="B88" s="33" t="s">
        <v>202</v>
      </c>
      <c r="C88" s="34"/>
      <c r="D88" s="34"/>
      <c r="E88" s="34"/>
      <c r="F88" s="35"/>
    </row>
    <row r="89" spans="1:7" ht="33.75" customHeight="1" x14ac:dyDescent="0.4">
      <c r="B89" s="274" t="s">
        <v>222</v>
      </c>
      <c r="C89" s="274"/>
      <c r="D89" s="274"/>
      <c r="E89" s="274"/>
      <c r="F89" s="274"/>
      <c r="G89" s="150"/>
    </row>
  </sheetData>
  <mergeCells count="82">
    <mergeCell ref="C14:E14"/>
    <mergeCell ref="D6:E6"/>
    <mergeCell ref="B9:F9"/>
    <mergeCell ref="C10:E10"/>
    <mergeCell ref="D11:F11"/>
    <mergeCell ref="C13:E13"/>
    <mergeCell ref="B7:C7"/>
    <mergeCell ref="C12:E12"/>
    <mergeCell ref="B1:F1"/>
    <mergeCell ref="B2:D2"/>
    <mergeCell ref="B3:F3"/>
    <mergeCell ref="B4:F4"/>
    <mergeCell ref="C42:D42"/>
    <mergeCell ref="E42:F42"/>
    <mergeCell ref="D17:E17"/>
    <mergeCell ref="D19:E19"/>
    <mergeCell ref="D20:E20"/>
    <mergeCell ref="B41:F41"/>
    <mergeCell ref="D18:E18"/>
    <mergeCell ref="B5:C5"/>
    <mergeCell ref="D5:F5"/>
    <mergeCell ref="D7:E7"/>
    <mergeCell ref="B16:F16"/>
    <mergeCell ref="B6:C6"/>
    <mergeCell ref="B89:F89"/>
    <mergeCell ref="C81:E81"/>
    <mergeCell ref="C83:E83"/>
    <mergeCell ref="C80:E80"/>
    <mergeCell ref="C82:E82"/>
    <mergeCell ref="C85:E85"/>
    <mergeCell ref="B84:F84"/>
    <mergeCell ref="C87:E87"/>
    <mergeCell ref="C86:E86"/>
    <mergeCell ref="C64:E64"/>
    <mergeCell ref="C59:D59"/>
    <mergeCell ref="C60:D60"/>
    <mergeCell ref="C67:E67"/>
    <mergeCell ref="C79:E79"/>
    <mergeCell ref="C76:E76"/>
    <mergeCell ref="B77:F77"/>
    <mergeCell ref="C65:E65"/>
    <mergeCell ref="C78:E78"/>
    <mergeCell ref="C72:E72"/>
    <mergeCell ref="C73:E73"/>
    <mergeCell ref="C74:E74"/>
    <mergeCell ref="C75:E75"/>
    <mergeCell ref="C68:E68"/>
    <mergeCell ref="C69:E69"/>
    <mergeCell ref="C70:E70"/>
    <mergeCell ref="C58:D58"/>
    <mergeCell ref="C51:E51"/>
    <mergeCell ref="C52:E52"/>
    <mergeCell ref="C54:E54"/>
    <mergeCell ref="C61:D61"/>
    <mergeCell ref="C53:E53"/>
    <mergeCell ref="D21:E21"/>
    <mergeCell ref="D22:E22"/>
    <mergeCell ref="D23:E23"/>
    <mergeCell ref="D24:E24"/>
    <mergeCell ref="C57:D57"/>
    <mergeCell ref="C56:D56"/>
    <mergeCell ref="D43:F43"/>
    <mergeCell ref="D44:F44"/>
    <mergeCell ref="C46:E46"/>
    <mergeCell ref="C45:E45"/>
    <mergeCell ref="C50:E50"/>
    <mergeCell ref="C49:E49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B39:E39"/>
    <mergeCell ref="D34:E34"/>
    <mergeCell ref="D35:E35"/>
    <mergeCell ref="D36:E36"/>
    <mergeCell ref="D37:E37"/>
    <mergeCell ref="D38:E38"/>
  </mergeCells>
  <dataValidations count="9">
    <dataValidation type="decimal" errorStyle="warning" operator="greaterThanOrEqual" allowBlank="1" showInputMessage="1" showErrorMessage="1" errorTitle="Atentar para o valor do salário." error="Tem certeza que o valor do salário-base é menor do que o salário mínimo vigente no país?" sqref="F50">
      <formula1>F46</formula1>
    </dataValidation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83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82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81">
      <formula1>0.65</formula1>
    </dataValidation>
    <dataValidation type="decimal" errorStyle="warning" allowBlank="1" showInputMessage="1" showErrorMessage="1" errorTitle="Erro na inserção de dados." error="O percentual recomendado de lucro, para serviços de vigilância, é de 5,45%, conforme estudos realizados pela Auditoria Interna do MPU." sqref="F80">
      <formula1>0</formula1>
      <formula2>5.45</formula2>
    </dataValidation>
    <dataValidation type="decimal" errorStyle="warning" allowBlank="1" showInputMessage="1" showErrorMessage="1" errorTitle="Erro na inserção de dados." error="O percentual recomendado de custos indiretos, para serviços de vigilância, é de 4,85%, conforme estudos realizados pela Auditoria Interna do MPU." sqref="F79">
      <formula1>0</formula1>
      <formula2>4.85</formula2>
    </dataValidation>
    <dataValidation type="whole" errorStyle="warning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69:F70">
      <formula1>0</formula1>
    </dataValidation>
    <dataValidation type="whole" errorStyle="warning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68">
      <formula1>0</formula1>
    </dataValidation>
    <dataValidation type="list" allowBlank="1" showInputMessage="1" showErrorMessage="1" sqref="F12">
      <formula1>"AC,AL,AP,AM,BA,CE,DF,ES,GO,MA,MG,MS,MT,PA,PB,PR,PE,PI,RJ,RN,RO,RR,RS,SC,SP,SE,TO"</formula1>
    </dataValidation>
  </dataValidations>
  <pageMargins left="0.17" right="0.17" top="0.31" bottom="0.68" header="0.31496062000000002" footer="0.31496062000000002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9"/>
  <sheetViews>
    <sheetView topLeftCell="A75" zoomScaleNormal="100" zoomScaleSheetLayoutView="100" workbookViewId="0">
      <selection activeCell="F76" sqref="F76"/>
    </sheetView>
  </sheetViews>
  <sheetFormatPr defaultColWidth="9.109375" defaultRowHeight="16.8" x14ac:dyDescent="0.4"/>
  <cols>
    <col min="1" max="1" width="2.6640625" style="13" customWidth="1"/>
    <col min="2" max="2" width="8.6640625" style="13" customWidth="1"/>
    <col min="3" max="3" width="52.5546875" style="19" customWidth="1"/>
    <col min="4" max="4" width="7.88671875" style="19" customWidth="1"/>
    <col min="5" max="5" width="13.5546875" style="19" customWidth="1"/>
    <col min="6" max="6" width="15.44140625" style="19" bestFit="1" customWidth="1"/>
    <col min="7" max="16384" width="9.109375" style="13"/>
  </cols>
  <sheetData>
    <row r="1" spans="2:6" ht="20.399999999999999" x14ac:dyDescent="0.45">
      <c r="B1" s="313" t="str">
        <f>RAMO</f>
        <v>RAMO: MINISTÉRIO PÚBLIC FEDERAL</v>
      </c>
      <c r="C1" s="314"/>
      <c r="D1" s="314"/>
      <c r="E1" s="314"/>
      <c r="F1" s="315"/>
    </row>
    <row r="2" spans="2:6" ht="20.399999999999999" x14ac:dyDescent="0.45">
      <c r="B2" s="316" t="str">
        <f>UG</f>
        <v>UNIDADE GESTORA (SIGLA): PR-PA</v>
      </c>
      <c r="C2" s="317"/>
      <c r="D2" s="318"/>
      <c r="E2" s="113" t="s">
        <v>57</v>
      </c>
      <c r="F2" s="114" t="str">
        <f>DATA_DO_ORCAMENTO_ESTIMATIVO</f>
        <v>XX/XX/20XX</v>
      </c>
    </row>
    <row r="3" spans="2:6" s="98" customFormat="1" ht="24.6" x14ac:dyDescent="0.55000000000000004">
      <c r="B3" s="281" t="s">
        <v>56</v>
      </c>
      <c r="C3" s="281"/>
      <c r="D3" s="281"/>
      <c r="E3" s="281"/>
      <c r="F3" s="281"/>
    </row>
    <row r="4" spans="2:6" s="98" customFormat="1" ht="15.9" customHeight="1" x14ac:dyDescent="0.4">
      <c r="B4" s="282" t="s">
        <v>97</v>
      </c>
      <c r="C4" s="282"/>
      <c r="D4" s="282"/>
      <c r="E4" s="282"/>
      <c r="F4" s="282"/>
    </row>
    <row r="5" spans="2:6" s="98" customFormat="1" ht="15.9" customHeight="1" x14ac:dyDescent="0.4">
      <c r="B5" s="285" t="s">
        <v>223</v>
      </c>
      <c r="C5" s="285"/>
      <c r="D5" s="319" t="str">
        <f>NUMERO_PROCESSO</f>
        <v>1.23.000.000855/2020-32</v>
      </c>
      <c r="E5" s="319"/>
      <c r="F5" s="319"/>
    </row>
    <row r="6" spans="2:6" s="98" customFormat="1" ht="15.75" customHeight="1" x14ac:dyDescent="0.4">
      <c r="B6" s="289" t="s">
        <v>224</v>
      </c>
      <c r="C6" s="289"/>
      <c r="D6" s="320" t="str">
        <f>MODALIDADE_DE_LICITACAO</f>
        <v>Pregão nº</v>
      </c>
      <c r="E6" s="320"/>
      <c r="F6" s="118" t="str">
        <f>NUMERO_PREGAO</f>
        <v>XX/20XX</v>
      </c>
    </row>
    <row r="7" spans="2:6" s="99" customFormat="1" ht="15.75" customHeight="1" x14ac:dyDescent="0.45">
      <c r="B7" s="321" t="s">
        <v>58</v>
      </c>
      <c r="C7" s="321"/>
      <c r="D7" s="321"/>
      <c r="E7" s="321"/>
      <c r="F7" s="321"/>
    </row>
    <row r="8" spans="2:6" s="98" customFormat="1" ht="18" customHeight="1" x14ac:dyDescent="0.4">
      <c r="B8" s="25" t="s">
        <v>2</v>
      </c>
      <c r="C8" s="285" t="s">
        <v>63</v>
      </c>
      <c r="D8" s="285"/>
      <c r="E8" s="285"/>
      <c r="F8" s="119" t="str">
        <f>DATA_APRESENTACAO_PROPOSTA</f>
        <v>XX/XX/20XX</v>
      </c>
    </row>
    <row r="9" spans="2:6" s="98" customFormat="1" ht="15.9" customHeight="1" x14ac:dyDescent="0.25">
      <c r="B9" s="1" t="s">
        <v>3</v>
      </c>
      <c r="C9" s="67" t="s">
        <v>36</v>
      </c>
      <c r="D9" s="311" t="s">
        <v>267</v>
      </c>
      <c r="E9" s="311"/>
      <c r="F9" s="311"/>
    </row>
    <row r="10" spans="2:6" s="98" customFormat="1" ht="18.75" customHeight="1" x14ac:dyDescent="0.4">
      <c r="B10" s="25" t="s">
        <v>4</v>
      </c>
      <c r="C10" s="285" t="s">
        <v>37</v>
      </c>
      <c r="D10" s="285"/>
      <c r="E10" s="285"/>
      <c r="F10" s="120" t="str">
        <f>ACORDO_COLETIVO</f>
        <v>CCT 2020/2021</v>
      </c>
    </row>
    <row r="11" spans="2:6" s="98" customFormat="1" ht="15.9" customHeight="1" x14ac:dyDescent="0.4">
      <c r="B11" s="1" t="s">
        <v>5</v>
      </c>
      <c r="C11" s="311" t="s">
        <v>64</v>
      </c>
      <c r="D11" s="311"/>
      <c r="E11" s="311"/>
      <c r="F11" s="121">
        <f>NUMERO_MESES_EXEC_CONTRATUAL</f>
        <v>12</v>
      </c>
    </row>
    <row r="12" spans="2:6" s="98" customFormat="1" x14ac:dyDescent="0.4">
      <c r="B12" s="1" t="s">
        <v>6</v>
      </c>
      <c r="C12" s="312" t="s">
        <v>85</v>
      </c>
      <c r="D12" s="312"/>
      <c r="E12" s="312"/>
      <c r="F12" s="102">
        <v>2</v>
      </c>
    </row>
    <row r="13" spans="2:6" s="98" customFormat="1" ht="7.5" customHeight="1" x14ac:dyDescent="0.4">
      <c r="B13" s="122"/>
      <c r="C13" s="123"/>
      <c r="D13" s="123"/>
      <c r="E13" s="123"/>
      <c r="F13" s="104"/>
    </row>
    <row r="14" spans="2:6" s="98" customFormat="1" ht="21" customHeight="1" x14ac:dyDescent="0.55000000000000004">
      <c r="B14" s="106" t="s">
        <v>205</v>
      </c>
      <c r="C14" s="13"/>
      <c r="D14" s="13"/>
      <c r="E14" s="13"/>
      <c r="F14" s="13"/>
    </row>
    <row r="15" spans="2:6" s="98" customFormat="1" x14ac:dyDescent="0.4">
      <c r="B15" s="25">
        <v>1</v>
      </c>
      <c r="C15" s="343" t="s">
        <v>60</v>
      </c>
      <c r="D15" s="344"/>
      <c r="E15" s="340" t="str">
        <f>TIPO_DE_SERVICO</f>
        <v>Vigilância</v>
      </c>
      <c r="F15" s="342"/>
    </row>
    <row r="16" spans="2:6" s="99" customFormat="1" x14ac:dyDescent="0.4">
      <c r="B16" s="25">
        <v>2</v>
      </c>
      <c r="C16" s="27" t="s">
        <v>59</v>
      </c>
      <c r="D16" s="334" t="str">
        <f>CBO</f>
        <v>5173-30</v>
      </c>
      <c r="E16" s="335"/>
      <c r="F16" s="336"/>
    </row>
    <row r="17" spans="2:6" s="98" customFormat="1" ht="15" customHeight="1" x14ac:dyDescent="0.4">
      <c r="B17" s="25">
        <v>3</v>
      </c>
      <c r="C17" s="56" t="s">
        <v>61</v>
      </c>
      <c r="D17" s="340" t="str">
        <f>CATEGORIA_PROFISSIONAL</f>
        <v>Vigilante</v>
      </c>
      <c r="E17" s="341"/>
      <c r="F17" s="342"/>
    </row>
    <row r="18" spans="2:6" s="98" customFormat="1" ht="15" customHeight="1" x14ac:dyDescent="0.4">
      <c r="B18" s="25">
        <v>4</v>
      </c>
      <c r="C18" s="337" t="s">
        <v>62</v>
      </c>
      <c r="D18" s="338"/>
      <c r="E18" s="339"/>
      <c r="F18" s="135">
        <f>DATA_BASE_CATEGORIA</f>
        <v>43831</v>
      </c>
    </row>
    <row r="19" spans="2:6" s="98" customFormat="1" ht="15" customHeight="1" x14ac:dyDescent="0.4">
      <c r="B19" s="28"/>
      <c r="C19" s="29"/>
      <c r="D19" s="29"/>
      <c r="E19" s="29"/>
      <c r="F19" s="105"/>
    </row>
    <row r="20" spans="2:6" s="124" customFormat="1" ht="30" customHeight="1" x14ac:dyDescent="0.4">
      <c r="B20" s="322" t="s">
        <v>40</v>
      </c>
      <c r="C20" s="322"/>
      <c r="D20" s="322"/>
      <c r="E20" s="322"/>
      <c r="F20" s="322"/>
    </row>
    <row r="21" spans="2:6" x14ac:dyDescent="0.4">
      <c r="B21" s="260" t="s">
        <v>52</v>
      </c>
      <c r="C21" s="260"/>
      <c r="D21" s="260"/>
      <c r="E21" s="260"/>
      <c r="F21" s="117">
        <v>1</v>
      </c>
    </row>
    <row r="22" spans="2:6" x14ac:dyDescent="0.4">
      <c r="B22" s="51" t="s">
        <v>8</v>
      </c>
      <c r="E22" s="14"/>
      <c r="F22" s="14"/>
    </row>
    <row r="23" spans="2:6" x14ac:dyDescent="0.4">
      <c r="B23" s="49">
        <v>1</v>
      </c>
      <c r="C23" s="271" t="s">
        <v>9</v>
      </c>
      <c r="D23" s="271"/>
      <c r="E23" s="271"/>
      <c r="F23" s="50" t="s">
        <v>13</v>
      </c>
    </row>
    <row r="24" spans="2:6" x14ac:dyDescent="0.4">
      <c r="B24" s="49" t="s">
        <v>2</v>
      </c>
      <c r="C24" s="332" t="s">
        <v>92</v>
      </c>
      <c r="D24" s="332"/>
      <c r="E24" s="332"/>
      <c r="F24" s="57">
        <f>SALARIO_BASE</f>
        <v>1401.07</v>
      </c>
    </row>
    <row r="25" spans="2:6" x14ac:dyDescent="0.4">
      <c r="B25" s="49" t="s">
        <v>3</v>
      </c>
      <c r="C25" s="273" t="s">
        <v>94</v>
      </c>
      <c r="D25" s="273"/>
      <c r="E25" s="273"/>
      <c r="F25" s="10">
        <f>PERC_ADIC_PERIC%*SALARIO_BASE</f>
        <v>420.32</v>
      </c>
    </row>
    <row r="26" spans="2:6" x14ac:dyDescent="0.4">
      <c r="B26" s="1" t="s">
        <v>4</v>
      </c>
      <c r="C26" s="275" t="str">
        <f>OUTROS_REMUNERACAO_1_DESCRICAO</f>
        <v>DSR - Adicional noturno - 1/6</v>
      </c>
      <c r="D26" s="276"/>
      <c r="E26" s="277"/>
      <c r="F26" s="57">
        <f>OUTROS_REMUNERACAO_1</f>
        <v>0</v>
      </c>
    </row>
    <row r="27" spans="2:6" x14ac:dyDescent="0.4">
      <c r="B27" s="1" t="s">
        <v>5</v>
      </c>
      <c r="C27" s="305" t="str">
        <f>OUTROS_REMUNERACAO_2_DESCRICAO</f>
        <v>DSR - Hora noturna reduzida - 1/6</v>
      </c>
      <c r="D27" s="306"/>
      <c r="E27" s="307"/>
      <c r="F27" s="10">
        <f>OUTROS_REMUNERACAO_2</f>
        <v>0</v>
      </c>
    </row>
    <row r="28" spans="2:6" x14ac:dyDescent="0.4">
      <c r="B28" s="328" t="s">
        <v>46</v>
      </c>
      <c r="C28" s="328"/>
      <c r="D28" s="328"/>
      <c r="E28" s="328"/>
      <c r="F28" s="43">
        <f>SUM(F24:F27)</f>
        <v>1821.39</v>
      </c>
    </row>
    <row r="29" spans="2:6" ht="10.5" customHeight="1" x14ac:dyDescent="0.4">
      <c r="B29" s="16"/>
      <c r="C29" s="17"/>
      <c r="D29" s="18"/>
      <c r="E29" s="14"/>
      <c r="F29" s="14"/>
    </row>
    <row r="30" spans="2:6" x14ac:dyDescent="0.4">
      <c r="B30" s="51" t="s">
        <v>65</v>
      </c>
      <c r="E30" s="21"/>
      <c r="F30" s="21"/>
    </row>
    <row r="31" spans="2:6" x14ac:dyDescent="0.4">
      <c r="B31" s="51" t="s">
        <v>67</v>
      </c>
      <c r="C31" s="12"/>
      <c r="D31" s="22"/>
      <c r="E31" s="20"/>
      <c r="F31" s="20"/>
    </row>
    <row r="32" spans="2:6" x14ac:dyDescent="0.4">
      <c r="B32" s="49" t="s">
        <v>66</v>
      </c>
      <c r="C32" s="333" t="s">
        <v>93</v>
      </c>
      <c r="D32" s="333"/>
      <c r="E32" s="50" t="s">
        <v>1</v>
      </c>
      <c r="F32" s="50" t="s">
        <v>13</v>
      </c>
    </row>
    <row r="33" spans="2:6" x14ac:dyDescent="0.4">
      <c r="B33" s="49" t="s">
        <v>2</v>
      </c>
      <c r="C33" s="272" t="s">
        <v>47</v>
      </c>
      <c r="D33" s="272"/>
      <c r="E33" s="65">
        <f>(1/12)*100</f>
        <v>8.33</v>
      </c>
      <c r="F33" s="58">
        <f>PERC_DEC_TERC%*MOD_1_REMUNERACAO_44H</f>
        <v>151.72</v>
      </c>
    </row>
    <row r="34" spans="2:6" s="17" customFormat="1" x14ac:dyDescent="0.4">
      <c r="B34" s="45" t="s">
        <v>3</v>
      </c>
      <c r="C34" s="251" t="s">
        <v>95</v>
      </c>
      <c r="D34" s="253"/>
      <c r="E34" s="54">
        <f>(1/3)/12*100</f>
        <v>2.78</v>
      </c>
      <c r="F34" s="36">
        <f>PERC_ADIC_FERIAS%*MOD_1_REMUNERACAO_44H</f>
        <v>50.63</v>
      </c>
    </row>
    <row r="35" spans="2:6" s="107" customFormat="1" x14ac:dyDescent="0.4">
      <c r="B35" s="345" t="s">
        <v>46</v>
      </c>
      <c r="C35" s="346"/>
      <c r="D35" s="346"/>
      <c r="E35" s="347"/>
      <c r="F35" s="41">
        <f>SUM(F33:F34)</f>
        <v>202.35</v>
      </c>
    </row>
    <row r="36" spans="2:6" s="107" customFormat="1" ht="31.5" customHeight="1" x14ac:dyDescent="0.4">
      <c r="B36" s="348" t="s">
        <v>68</v>
      </c>
      <c r="C36" s="348"/>
      <c r="D36" s="348"/>
      <c r="E36" s="348"/>
      <c r="F36" s="348"/>
    </row>
    <row r="37" spans="2:6" s="107" customFormat="1" ht="33.75" customHeight="1" x14ac:dyDescent="0.4">
      <c r="B37" s="49" t="s">
        <v>69</v>
      </c>
      <c r="C37" s="349" t="s">
        <v>96</v>
      </c>
      <c r="D37" s="349"/>
      <c r="E37" s="50" t="s">
        <v>1</v>
      </c>
      <c r="F37" s="50" t="s">
        <v>13</v>
      </c>
    </row>
    <row r="38" spans="2:6" x14ac:dyDescent="0.4">
      <c r="B38" s="49" t="s">
        <v>2</v>
      </c>
      <c r="C38" s="272" t="s">
        <v>41</v>
      </c>
      <c r="D38" s="272"/>
      <c r="E38" s="65">
        <v>20</v>
      </c>
      <c r="F38" s="58">
        <f>PERC_INSS%*(MOD_1_REMUNERACAO_44H+SUBMOD_2_1_DEC_TERC_ADIC_FERIAS_44H)</f>
        <v>404.75</v>
      </c>
    </row>
    <row r="39" spans="2:6" s="98" customFormat="1" x14ac:dyDescent="0.25">
      <c r="B39" s="45" t="s">
        <v>3</v>
      </c>
      <c r="C39" s="273" t="s">
        <v>43</v>
      </c>
      <c r="D39" s="273"/>
      <c r="E39" s="55">
        <v>2.5</v>
      </c>
      <c r="F39" s="36">
        <f>PERC_SAL_EDUCACAO%*(MOD_1_REMUNERACAO_44H+SUBMOD_2_1_DEC_TERC_ADIC_FERIAS_44H)</f>
        <v>50.59</v>
      </c>
    </row>
    <row r="40" spans="2:6" s="98" customFormat="1" x14ac:dyDescent="0.25">
      <c r="B40" s="45" t="s">
        <v>4</v>
      </c>
      <c r="C40" s="275" t="s">
        <v>236</v>
      </c>
      <c r="D40" s="276"/>
      <c r="E40" s="65">
        <v>3</v>
      </c>
      <c r="F40" s="58">
        <f>PERC_RAT%*(MOD_1_REMUNERACAO_44H+SUBMOD_2_1_DEC_TERC_ADIC_FERIAS_44H)</f>
        <v>121.42</v>
      </c>
    </row>
    <row r="41" spans="2:6" s="98" customFormat="1" x14ac:dyDescent="0.25">
      <c r="B41" s="45" t="s">
        <v>5</v>
      </c>
      <c r="C41" s="273" t="s">
        <v>88</v>
      </c>
      <c r="D41" s="273"/>
      <c r="E41" s="54">
        <v>1.5</v>
      </c>
      <c r="F41" s="36">
        <f>PERC_SESC%*(MOD_1_REMUNERACAO_44H+SUBMOD_2_1_DEC_TERC_ADIC_FERIAS_44H)</f>
        <v>30.36</v>
      </c>
    </row>
    <row r="42" spans="2:6" s="98" customFormat="1" x14ac:dyDescent="0.25">
      <c r="B42" s="45" t="s">
        <v>6</v>
      </c>
      <c r="C42" s="272" t="s">
        <v>89</v>
      </c>
      <c r="D42" s="272"/>
      <c r="E42" s="65">
        <v>1</v>
      </c>
      <c r="F42" s="58">
        <f>PERC_SENAC%*(MOD_1_REMUNERACAO_44H+SUBMOD_2_1_DEC_TERC_ADIC_FERIAS_44H)</f>
        <v>20.239999999999998</v>
      </c>
    </row>
    <row r="43" spans="2:6" s="99" customFormat="1" x14ac:dyDescent="0.25">
      <c r="B43" s="45" t="s">
        <v>7</v>
      </c>
      <c r="C43" s="273" t="s">
        <v>45</v>
      </c>
      <c r="D43" s="273"/>
      <c r="E43" s="55">
        <v>0.6</v>
      </c>
      <c r="F43" s="36">
        <f>PERC_SEBRAE%*(MOD_1_REMUNERACAO_44H+SUBMOD_2_1_DEC_TERC_ADIC_FERIAS_44H)</f>
        <v>12.14</v>
      </c>
    </row>
    <row r="44" spans="2:6" s="99" customFormat="1" x14ac:dyDescent="0.25">
      <c r="B44" s="45" t="s">
        <v>10</v>
      </c>
      <c r="C44" s="272" t="s">
        <v>42</v>
      </c>
      <c r="D44" s="272"/>
      <c r="E44" s="65">
        <v>0.2</v>
      </c>
      <c r="F44" s="58">
        <f>PERC_INCRA%*(MOD_1_REMUNERACAO_44H+SUBMOD_2_1_DEC_TERC_ADIC_FERIAS_44H)</f>
        <v>4.05</v>
      </c>
    </row>
    <row r="45" spans="2:6" x14ac:dyDescent="0.4">
      <c r="B45" s="45" t="s">
        <v>11</v>
      </c>
      <c r="C45" s="273" t="s">
        <v>44</v>
      </c>
      <c r="D45" s="273"/>
      <c r="E45" s="55">
        <v>8</v>
      </c>
      <c r="F45" s="36">
        <f>PERC_FGTS%*(MOD_1_REMUNERACAO_44H+SUBMOD_2_1_DEC_TERC_ADIC_FERIAS_44H)</f>
        <v>161.9</v>
      </c>
    </row>
    <row r="46" spans="2:6" x14ac:dyDescent="0.4">
      <c r="B46" s="345" t="s">
        <v>46</v>
      </c>
      <c r="C46" s="346"/>
      <c r="D46" s="346"/>
      <c r="E46" s="347"/>
      <c r="F46" s="42">
        <f>SUM(F38:F45)</f>
        <v>805.45</v>
      </c>
    </row>
    <row r="47" spans="2:6" ht="15.75" customHeight="1" x14ac:dyDescent="0.4">
      <c r="B47" s="51" t="s">
        <v>71</v>
      </c>
      <c r="C47" s="99"/>
      <c r="D47" s="99"/>
      <c r="E47" s="99"/>
      <c r="F47" s="99"/>
    </row>
    <row r="48" spans="2:6" ht="15.75" customHeight="1" x14ac:dyDescent="0.4">
      <c r="B48" s="49" t="s">
        <v>90</v>
      </c>
      <c r="C48" s="271" t="s">
        <v>14</v>
      </c>
      <c r="D48" s="271"/>
      <c r="E48" s="271"/>
      <c r="F48" s="50" t="s">
        <v>13</v>
      </c>
    </row>
    <row r="49" spans="2:7" x14ac:dyDescent="0.4">
      <c r="B49" s="44" t="s">
        <v>2</v>
      </c>
      <c r="C49" s="275" t="s">
        <v>15</v>
      </c>
      <c r="D49" s="276"/>
      <c r="E49" s="277"/>
      <c r="F49" s="58">
        <f>IF((((3*2)*DIAS_UTEIS_TRABALHADOS_NO_MES_44HORAS)-(PERC_DESC_TRANSP_REMUNERACAO%*(SALARIO_BASE)))&gt;0,(((3*2)*DIAS_UTEIS_TRABALHADOS_NO_MES_44HORAS)-(PERC_DESC_TRANSP_REMUNERACAO%*(SALARIO_BASE))),0)</f>
        <v>47.94</v>
      </c>
      <c r="G49" s="145"/>
    </row>
    <row r="50" spans="2:7" s="107" customFormat="1" x14ac:dyDescent="0.4">
      <c r="B50" s="44" t="s">
        <v>3</v>
      </c>
      <c r="C50" s="251" t="s">
        <v>70</v>
      </c>
      <c r="D50" s="252"/>
      <c r="E50" s="253"/>
      <c r="F50" s="36">
        <f>ALIMENTACAO_POR_DIA*DIAS_UTEIS_TRABALHADOS_NO_MES_44HORAS*0.99</f>
        <v>566.28</v>
      </c>
      <c r="G50" s="13" t="s">
        <v>238</v>
      </c>
    </row>
    <row r="51" spans="2:7" s="107" customFormat="1" x14ac:dyDescent="0.4">
      <c r="B51" s="25" t="s">
        <v>4</v>
      </c>
      <c r="C51" s="275" t="str">
        <f>OUTROS_BENEFICIOS_1_DESCRICAO</f>
        <v>Auxílio saúde</v>
      </c>
      <c r="D51" s="276"/>
      <c r="E51" s="277"/>
      <c r="F51" s="58"/>
      <c r="G51" s="13"/>
    </row>
    <row r="52" spans="2:7" s="107" customFormat="1" x14ac:dyDescent="0.4">
      <c r="B52" s="25" t="s">
        <v>5</v>
      </c>
      <c r="C52" s="305" t="str">
        <f>OUTROS_BENEFICIOS_2_DESCRICAO</f>
        <v>Auxílio morte/funeral</v>
      </c>
      <c r="D52" s="306"/>
      <c r="E52" s="307"/>
      <c r="F52" s="36"/>
      <c r="G52" s="13"/>
    </row>
    <row r="53" spans="2:7" s="107" customFormat="1" x14ac:dyDescent="0.4">
      <c r="B53" s="25" t="s">
        <v>6</v>
      </c>
      <c r="C53" s="275" t="str">
        <f>OUTROS_BENEFICIOS_3_DESCRICAO</f>
        <v>Seguro de vida</v>
      </c>
      <c r="D53" s="276"/>
      <c r="E53" s="277"/>
      <c r="F53" s="58"/>
    </row>
    <row r="54" spans="2:7" s="107" customFormat="1" ht="15" customHeight="1" x14ac:dyDescent="0.4">
      <c r="B54" s="328" t="s">
        <v>46</v>
      </c>
      <c r="C54" s="328"/>
      <c r="D54" s="328"/>
      <c r="E54" s="328"/>
      <c r="F54" s="43">
        <f>SUM(F49:F53)</f>
        <v>614.22</v>
      </c>
    </row>
    <row r="55" spans="2:7" ht="10.5" customHeight="1" x14ac:dyDescent="0.4">
      <c r="B55" s="16"/>
      <c r="C55" s="17"/>
      <c r="D55" s="18"/>
      <c r="E55" s="14"/>
      <c r="F55" s="14"/>
    </row>
    <row r="56" spans="2:7" s="107" customFormat="1" x14ac:dyDescent="0.4">
      <c r="B56" s="51" t="s">
        <v>72</v>
      </c>
      <c r="C56" s="12"/>
      <c r="D56" s="22"/>
      <c r="E56" s="20"/>
      <c r="F56" s="20"/>
    </row>
    <row r="57" spans="2:7" s="107" customFormat="1" ht="15" customHeight="1" x14ac:dyDescent="0.4">
      <c r="B57" s="1">
        <v>3</v>
      </c>
      <c r="C57" s="260" t="s">
        <v>48</v>
      </c>
      <c r="D57" s="260"/>
      <c r="E57" s="4" t="s">
        <v>1</v>
      </c>
      <c r="F57" s="4" t="s">
        <v>13</v>
      </c>
    </row>
    <row r="58" spans="2:7" s="107" customFormat="1" x14ac:dyDescent="0.4">
      <c r="B58" s="1" t="s">
        <v>2</v>
      </c>
      <c r="C58" s="301" t="s">
        <v>49</v>
      </c>
      <c r="D58" s="301"/>
      <c r="E58" s="59">
        <f>PERC_AVISO_PREVIO_IND</f>
        <v>0.28999999999999998</v>
      </c>
      <c r="F58" s="58">
        <f>PERC_AVISO_PREVIO_IND%*(MOD_1_REMUNERACAO_44H+SUBMOD_2_1_DEC_TERC_ADIC_FERIAS_44H+AL_2_2_FGTS_44H+SUBMOD_2_3_BENEFICIOS_44H)</f>
        <v>8.1199999999999992</v>
      </c>
    </row>
    <row r="59" spans="2:7" s="107" customFormat="1" x14ac:dyDescent="0.4">
      <c r="B59" s="2" t="s">
        <v>3</v>
      </c>
      <c r="C59" s="303" t="s">
        <v>50</v>
      </c>
      <c r="D59" s="303"/>
      <c r="E59" s="46">
        <f>PERC_AVISO_PREVIO_TRAB</f>
        <v>1.1599999999999999</v>
      </c>
      <c r="F59" s="36">
        <f>PERC_AVISO_PREVIO_TRAB%*(MOD_1_REMUNERACAO_44H+SUBMOD_2_1_DEC_TERC_ADIC_FERIAS_44H+SUBMOD_2_2_GPS_FGTS_44H+SUBMOD_2_3_BENEFICIOS_44H)</f>
        <v>39.94</v>
      </c>
    </row>
    <row r="60" spans="2:7" s="98" customFormat="1" x14ac:dyDescent="0.25">
      <c r="B60" s="2" t="s">
        <v>4</v>
      </c>
      <c r="C60" s="301" t="s">
        <v>232</v>
      </c>
      <c r="D60" s="301"/>
      <c r="E60" s="59">
        <f>PERC_MULTA_FGTS_AV_PREV_TRAB</f>
        <v>0.04</v>
      </c>
      <c r="F60" s="58">
        <f>PERC_MULTA_FGTS_AV_PREV_TRAB%*(MOD_1_REMUNERACAO_44H+SUBMOD_2_1_DEC_TERC_ADIC_FERIAS_44H)</f>
        <v>0.81</v>
      </c>
    </row>
    <row r="61" spans="2:7" s="98" customFormat="1" x14ac:dyDescent="0.4">
      <c r="B61" s="268" t="s">
        <v>46</v>
      </c>
      <c r="C61" s="269"/>
      <c r="D61" s="269"/>
      <c r="E61" s="270"/>
      <c r="F61" s="41">
        <f>SUM(F58:F60)</f>
        <v>48.87</v>
      </c>
    </row>
    <row r="62" spans="2:7" ht="10.5" customHeight="1" x14ac:dyDescent="0.4">
      <c r="B62" s="16"/>
      <c r="C62" s="17"/>
      <c r="D62" s="18"/>
      <c r="E62" s="14"/>
      <c r="F62" s="14"/>
    </row>
    <row r="63" spans="2:7" s="98" customFormat="1" ht="15.9" customHeight="1" x14ac:dyDescent="0.4">
      <c r="B63" s="51" t="s">
        <v>73</v>
      </c>
      <c r="C63" s="12"/>
      <c r="D63" s="22"/>
      <c r="E63" s="13"/>
      <c r="F63" s="13"/>
    </row>
    <row r="64" spans="2:7" s="98" customFormat="1" ht="15.9" customHeight="1" x14ac:dyDescent="0.4">
      <c r="B64" s="51" t="s">
        <v>102</v>
      </c>
      <c r="C64" s="12"/>
      <c r="D64" s="22"/>
      <c r="E64" s="20"/>
      <c r="F64" s="20"/>
    </row>
    <row r="65" spans="2:6" s="98" customFormat="1" x14ac:dyDescent="0.25">
      <c r="B65" s="1" t="s">
        <v>18</v>
      </c>
      <c r="C65" s="302" t="s">
        <v>103</v>
      </c>
      <c r="D65" s="302"/>
      <c r="E65" s="4" t="s">
        <v>1</v>
      </c>
      <c r="F65" s="4" t="s">
        <v>13</v>
      </c>
    </row>
    <row r="66" spans="2:6" s="98" customFormat="1" ht="15.9" customHeight="1" x14ac:dyDescent="0.25">
      <c r="B66" s="2" t="s">
        <v>2</v>
      </c>
      <c r="C66" s="298" t="s">
        <v>104</v>
      </c>
      <c r="D66" s="298"/>
      <c r="E66" s="59">
        <f>PERC_SUBSTITUTO_FERIAS</f>
        <v>8.33</v>
      </c>
      <c r="F66" s="58">
        <f>PERC_SUBSTITUTO_FERIAS%*(MOD_1_REMUNERACAO_44H+MOD_2_ENCARGOS_BENEFICIOS_44H+MOD_3_PROVISAO_RESCISAO_44H)</f>
        <v>290.91000000000003</v>
      </c>
    </row>
    <row r="67" spans="2:6" s="98" customFormat="1" ht="15.9" customHeight="1" x14ac:dyDescent="0.25">
      <c r="B67" s="2" t="s">
        <v>3</v>
      </c>
      <c r="C67" s="300" t="s">
        <v>105</v>
      </c>
      <c r="D67" s="300"/>
      <c r="E67" s="46">
        <f>PERC_SUBSTITUTO_AUSENCIAS_LEGAIS</f>
        <v>2.2200000000000002</v>
      </c>
      <c r="F67" s="36">
        <f>PERC_SUBSTITUTO_AUSENCIAS_LEGAIS%*(MOD_1_REMUNERACAO_44H+MOD_2_ENCARGOS_BENEFICIOS_44H+MOD_3_PROVISAO_RESCISAO_44H)</f>
        <v>77.53</v>
      </c>
    </row>
    <row r="68" spans="2:6" s="98" customFormat="1" ht="15.9" customHeight="1" x14ac:dyDescent="0.25">
      <c r="B68" s="2" t="s">
        <v>4</v>
      </c>
      <c r="C68" s="298" t="s">
        <v>106</v>
      </c>
      <c r="D68" s="298"/>
      <c r="E68" s="59">
        <f>PERC_SUBSTITUTO_LICENCA_PATERNIDADE</f>
        <v>7.0000000000000007E-2</v>
      </c>
      <c r="F68" s="58">
        <f>PERC_SUBSTITUTO_LICENCA_PATERNIDADE%*(MOD_1_REMUNERACAO_44H+MOD_2_ENCARGOS_BENEFICIOS_44H+MOD_3_PROVISAO_RESCISAO_44H)</f>
        <v>2.44</v>
      </c>
    </row>
    <row r="69" spans="2:6" s="98" customFormat="1" x14ac:dyDescent="0.25">
      <c r="B69" s="2" t="s">
        <v>5</v>
      </c>
      <c r="C69" s="300" t="s">
        <v>107</v>
      </c>
      <c r="D69" s="300"/>
      <c r="E69" s="46">
        <f>PERC_SUBSTITUTO_ACID_TRAB</f>
        <v>0.02</v>
      </c>
      <c r="F69" s="36">
        <f>PERC_SUBSTITUTO_ACID_TRAB%*(MOD_1_REMUNERACAO_44H+MOD_2_ENCARGOS_BENEFICIOS_44H+MOD_3_PROVISAO_RESCISAO_44H)</f>
        <v>0.7</v>
      </c>
    </row>
    <row r="70" spans="2:6" s="98" customFormat="1" x14ac:dyDescent="0.25">
      <c r="B70" s="2" t="s">
        <v>6</v>
      </c>
      <c r="C70" s="298" t="s">
        <v>108</v>
      </c>
      <c r="D70" s="298"/>
      <c r="E70" s="59">
        <f>PERC_SUBSTITUTO_AFAST_MATERN</f>
        <v>0.04</v>
      </c>
      <c r="F70" s="58">
        <f>PERC_SUBSTITUTO_AFAST_MATERN%*(MOD_1_REMUNERACAO_44H+MOD_2_ENCARGOS_BENEFICIOS_44H+MOD_3_PROVISAO_RESCISAO_44H)</f>
        <v>1.4</v>
      </c>
    </row>
    <row r="71" spans="2:6" s="98" customFormat="1" x14ac:dyDescent="0.25">
      <c r="B71" s="2" t="s">
        <v>7</v>
      </c>
      <c r="C71" s="325" t="str">
        <f>OUTRAS_AUSENCIAS_DESCRICAO</f>
        <v>Outras Ausências (Especificar - em %)</v>
      </c>
      <c r="D71" s="300"/>
      <c r="E71" s="53">
        <f>PERC_SUBSTITUTO_OUTRAS_AUSENCIAS</f>
        <v>0</v>
      </c>
      <c r="F71" s="36">
        <f>PERC_SUBSTITUTO_OUTRAS_AUSENCIAS%*(MOD_1_REMUNERACAO_44H+MOD_2_ENCARGOS_BENEFICIOS_44H+MOD_3_PROVISAO_RESCISAO_44H)</f>
        <v>0</v>
      </c>
    </row>
    <row r="72" spans="2:6" s="98" customFormat="1" x14ac:dyDescent="0.4">
      <c r="B72" s="268" t="s">
        <v>46</v>
      </c>
      <c r="C72" s="269"/>
      <c r="D72" s="269"/>
      <c r="E72" s="270"/>
      <c r="F72" s="41">
        <f>SUM(F66:F71)</f>
        <v>372.98</v>
      </c>
    </row>
    <row r="73" spans="2:6" ht="18" customHeight="1" x14ac:dyDescent="0.4">
      <c r="B73" s="16"/>
      <c r="C73" s="17"/>
      <c r="D73" s="18"/>
      <c r="E73" s="14"/>
      <c r="F73" s="14"/>
    </row>
    <row r="74" spans="2:6" x14ac:dyDescent="0.4">
      <c r="B74" s="51" t="s">
        <v>226</v>
      </c>
      <c r="C74" s="12"/>
      <c r="D74" s="22"/>
      <c r="E74" s="20"/>
      <c r="F74" s="20"/>
    </row>
    <row r="75" spans="2:6" x14ac:dyDescent="0.4">
      <c r="B75" s="1" t="s">
        <v>19</v>
      </c>
      <c r="C75" s="144" t="s">
        <v>225</v>
      </c>
      <c r="D75" s="144"/>
      <c r="E75" s="144"/>
      <c r="F75" s="4" t="s">
        <v>13</v>
      </c>
    </row>
    <row r="76" spans="2:6" ht="16.5" customHeight="1" x14ac:dyDescent="0.4">
      <c r="B76" s="1" t="s">
        <v>2</v>
      </c>
      <c r="C76" s="298" t="s">
        <v>109</v>
      </c>
      <c r="D76" s="298"/>
      <c r="E76" s="298"/>
      <c r="F76" s="57">
        <f>((MOD_1_REMUNERACAO_44H+MOD_2_ENCARGOS_BENEFICIOS_44H+MOD_3_PROVISAO_RESCISAO_44H)/DIVISOR_DE_HORAS)*(('INSERÇÃO-DE-DADOS'!F70/HORA_NORMAL))*DIAS_UTEIS_TRABALHADOS_NO_MES_44HORAS</f>
        <v>349.23</v>
      </c>
    </row>
    <row r="77" spans="2:6" x14ac:dyDescent="0.4">
      <c r="B77" s="260" t="s">
        <v>46</v>
      </c>
      <c r="C77" s="260"/>
      <c r="D77" s="260"/>
      <c r="E77" s="260"/>
      <c r="F77" s="41">
        <f>SUM(F76)</f>
        <v>349.23</v>
      </c>
    </row>
    <row r="78" spans="2:6" x14ac:dyDescent="0.4">
      <c r="C78" s="13"/>
      <c r="D78" s="13"/>
      <c r="E78" s="13"/>
      <c r="F78" s="13"/>
    </row>
    <row r="79" spans="2:6" x14ac:dyDescent="0.4">
      <c r="B79" s="51" t="s">
        <v>77</v>
      </c>
      <c r="C79" s="12"/>
      <c r="D79" s="12"/>
      <c r="E79" s="20"/>
      <c r="F79" s="20"/>
    </row>
    <row r="80" spans="2:6" ht="15.75" customHeight="1" x14ac:dyDescent="0.4">
      <c r="B80" s="49">
        <v>5</v>
      </c>
      <c r="C80" s="271" t="s">
        <v>0</v>
      </c>
      <c r="D80" s="271"/>
      <c r="E80" s="271"/>
      <c r="F80" s="50" t="s">
        <v>13</v>
      </c>
    </row>
    <row r="81" spans="2:6" x14ac:dyDescent="0.4">
      <c r="B81" s="44" t="s">
        <v>2</v>
      </c>
      <c r="C81" s="272" t="s">
        <v>16</v>
      </c>
      <c r="D81" s="272"/>
      <c r="E81" s="272"/>
      <c r="F81" s="60">
        <f>UNIFORMES</f>
        <v>244.71</v>
      </c>
    </row>
    <row r="82" spans="2:6" x14ac:dyDescent="0.4">
      <c r="B82" s="44" t="s">
        <v>3</v>
      </c>
      <c r="C82" s="273" t="s">
        <v>285</v>
      </c>
      <c r="D82" s="273"/>
      <c r="E82" s="273"/>
      <c r="F82" s="47">
        <f>MATERIAIS</f>
        <v>77.400000000000006</v>
      </c>
    </row>
    <row r="83" spans="2:6" x14ac:dyDescent="0.4">
      <c r="B83" s="44" t="s">
        <v>4</v>
      </c>
      <c r="C83" s="272" t="s">
        <v>286</v>
      </c>
      <c r="D83" s="272"/>
      <c r="E83" s="272"/>
      <c r="F83" s="60">
        <f>EQUIPAMENTOS</f>
        <v>8.09</v>
      </c>
    </row>
    <row r="84" spans="2:6" x14ac:dyDescent="0.4">
      <c r="B84" s="44" t="s">
        <v>5</v>
      </c>
      <c r="C84" s="324" t="str">
        <f>OUTROS_INSUMOS_DESCRICAO</f>
        <v>Outros (Especificar)</v>
      </c>
      <c r="D84" s="273"/>
      <c r="E84" s="273"/>
      <c r="F84" s="47">
        <f>OUTROS_INSUMOS</f>
        <v>0</v>
      </c>
    </row>
    <row r="85" spans="2:6" x14ac:dyDescent="0.4">
      <c r="B85" s="328" t="s">
        <v>46</v>
      </c>
      <c r="C85" s="328"/>
      <c r="D85" s="328"/>
      <c r="E85" s="328"/>
      <c r="F85" s="43">
        <f>SUM(F81:F84)</f>
        <v>330.2</v>
      </c>
    </row>
    <row r="86" spans="2:6" ht="10.5" customHeight="1" x14ac:dyDescent="0.4">
      <c r="B86" s="16"/>
      <c r="C86" s="17"/>
      <c r="D86" s="18"/>
      <c r="E86" s="14"/>
      <c r="F86" s="14"/>
    </row>
    <row r="87" spans="2:6" ht="15" customHeight="1" x14ac:dyDescent="0.4">
      <c r="B87" s="264" t="s">
        <v>76</v>
      </c>
      <c r="C87" s="264"/>
      <c r="D87" s="264"/>
      <c r="E87" s="264"/>
      <c r="F87" s="264"/>
    </row>
    <row r="88" spans="2:6" x14ac:dyDescent="0.4">
      <c r="B88" s="1">
        <v>6</v>
      </c>
      <c r="C88" s="260" t="s">
        <v>20</v>
      </c>
      <c r="D88" s="260"/>
      <c r="E88" s="4" t="s">
        <v>1</v>
      </c>
      <c r="F88" s="4" t="s">
        <v>13</v>
      </c>
    </row>
    <row r="89" spans="2:6" x14ac:dyDescent="0.4">
      <c r="B89" s="1" t="s">
        <v>2</v>
      </c>
      <c r="C89" s="298" t="s">
        <v>78</v>
      </c>
      <c r="D89" s="298"/>
      <c r="E89" s="61">
        <f>PERC_CUSTOS_INDIRETOS</f>
        <v>4.8499999999999996</v>
      </c>
      <c r="F89" s="58">
        <f>PERC_CUSTOS_INDIRETOS%*(MOD_1_REMUNERACAO_44H+MOD_2_ENCARGOS_BENEFICIOS_44H+MOD_3_PROVISAO_RESCISAO_44H+MOD_4_CUSTO_REPOSICAO_44H+MOD_5_INSUMOS_44H)</f>
        <v>220.42</v>
      </c>
    </row>
    <row r="90" spans="2:6" ht="15.75" customHeight="1" x14ac:dyDescent="0.4">
      <c r="B90" s="2" t="s">
        <v>3</v>
      </c>
      <c r="C90" s="300" t="s">
        <v>32</v>
      </c>
      <c r="D90" s="300"/>
      <c r="E90" s="48">
        <f>PERC_LUCRO</f>
        <v>5.45</v>
      </c>
      <c r="F90" s="36">
        <f>PERC_LUCRO%*(MOD_1_REMUNERACAO_44H+MOD_2_ENCARGOS_BENEFICIOS_44H+MOD_3_PROVISAO_RESCISAO_44H+MOD_4_CUSTO_REPOSICAO_44H+MOD_5_INSUMOS_44H+AL_6_A_CUSTOS_INDIRETOS_44H)</f>
        <v>259.7</v>
      </c>
    </row>
    <row r="91" spans="2:6" x14ac:dyDescent="0.4">
      <c r="B91" s="2" t="s">
        <v>4</v>
      </c>
      <c r="C91" s="298" t="s">
        <v>21</v>
      </c>
      <c r="D91" s="298"/>
      <c r="E91" s="61">
        <f>SUM(E92:E94)</f>
        <v>8.65</v>
      </c>
      <c r="F91" s="58">
        <f>SUM(F92:F94)</f>
        <v>475.8</v>
      </c>
    </row>
    <row r="92" spans="2:6" ht="15.75" customHeight="1" x14ac:dyDescent="0.4">
      <c r="B92" s="30" t="s">
        <v>79</v>
      </c>
      <c r="C92" s="326" t="s">
        <v>23</v>
      </c>
      <c r="D92" s="326"/>
      <c r="E92" s="31">
        <f>PERC_PIS</f>
        <v>0.65</v>
      </c>
      <c r="F92" s="63">
        <f>((MOD_1_REMUNERACAO_44H+MOD_2_ENCARGOS_BENEFICIOS_44H+MOD_3_PROVISAO_RESCISAO_44H+MOD_4_CUSTO_REPOSICAO_44H+MOD_5_INSUMOS_44H+AL_6_A_CUSTOS_INDIRETOS_44H+AL_6_B_LUCRO_44H)*PERC_PIS%)/(1-PERC_TRIBUTOS%)</f>
        <v>35.75</v>
      </c>
    </row>
    <row r="93" spans="2:6" x14ac:dyDescent="0.4">
      <c r="B93" s="30" t="s">
        <v>80</v>
      </c>
      <c r="C93" s="327" t="s">
        <v>24</v>
      </c>
      <c r="D93" s="327"/>
      <c r="E93" s="62">
        <f>PERC_COFINS</f>
        <v>3</v>
      </c>
      <c r="F93" s="64">
        <f>((MOD_1_REMUNERACAO_44H+MOD_2_ENCARGOS_BENEFICIOS_44H+MOD_3_PROVISAO_RESCISAO_44H+MOD_4_CUSTO_REPOSICAO_44H+MOD_5_INSUMOS_44H+AL_6_A_CUSTOS_INDIRETOS_44H+AL_6_B_LUCRO_44H)*PERC_COFINS%)/(1-PERC_TRIBUTOS%)</f>
        <v>165.02</v>
      </c>
    </row>
    <row r="94" spans="2:6" s="108" customFormat="1" x14ac:dyDescent="0.4">
      <c r="B94" s="30" t="s">
        <v>81</v>
      </c>
      <c r="C94" s="326" t="s">
        <v>25</v>
      </c>
      <c r="D94" s="326"/>
      <c r="E94" s="31">
        <f>PERC_ISS</f>
        <v>5</v>
      </c>
      <c r="F94" s="63">
        <f>((MOD_1_REMUNERACAO_44H+MOD_2_ENCARGOS_BENEFICIOS_44H+MOD_3_PROVISAO_RESCISAO_44H+MOD_4_CUSTO_REPOSICAO_44H+MOD_5_INSUMOS_44H+AL_6_A_CUSTOS_INDIRETOS_44H+AL_6_B_LUCRO_44H)*PERC_ISS%)/(1-PERC_TRIBUTOS%)</f>
        <v>275.02999999999997</v>
      </c>
    </row>
    <row r="95" spans="2:6" s="108" customFormat="1" x14ac:dyDescent="0.4">
      <c r="B95" s="268" t="s">
        <v>46</v>
      </c>
      <c r="C95" s="269"/>
      <c r="D95" s="269"/>
      <c r="E95" s="270"/>
      <c r="F95" s="37">
        <f>AL_6_A_CUSTOS_INDIRETOS_44H+AL_6_B_LUCRO_44H+AL_6_C_TRIBUTOS_44H</f>
        <v>955.92</v>
      </c>
    </row>
    <row r="96" spans="2:6" s="108" customFormat="1" x14ac:dyDescent="0.4">
      <c r="B96" s="264" t="s">
        <v>261</v>
      </c>
      <c r="C96" s="264"/>
      <c r="D96" s="264"/>
      <c r="E96" s="264"/>
      <c r="F96" s="264"/>
    </row>
    <row r="97" spans="2:6" ht="19.5" customHeight="1" x14ac:dyDescent="0.4">
      <c r="B97" s="147" t="s">
        <v>2</v>
      </c>
      <c r="C97" s="275" t="str">
        <f>'INSERÇÃO-DE-DADOS'!C87:E87</f>
        <v>Dia do Vigilante - Clausula 82ª CCT - Jornada 44h</v>
      </c>
      <c r="D97" s="276"/>
      <c r="E97" s="277"/>
      <c r="F97" s="57">
        <f>'INSERÇÃO-DE-DADOS'!F87</f>
        <v>12.14</v>
      </c>
    </row>
    <row r="98" spans="2:6" s="108" customFormat="1" ht="30.75" customHeight="1" x14ac:dyDescent="0.4">
      <c r="B98" s="52" t="s">
        <v>53</v>
      </c>
      <c r="C98" s="15"/>
      <c r="D98" s="15"/>
      <c r="E98" s="15"/>
      <c r="F98" s="23"/>
    </row>
    <row r="99" spans="2:6" s="109" customFormat="1" ht="16.5" customHeight="1" x14ac:dyDescent="0.4">
      <c r="B99" s="2" t="s">
        <v>98</v>
      </c>
      <c r="C99" s="257" t="s">
        <v>99</v>
      </c>
      <c r="D99" s="258"/>
      <c r="E99" s="259"/>
      <c r="F99" s="4" t="s">
        <v>17</v>
      </c>
    </row>
    <row r="100" spans="2:6" s="108" customFormat="1" x14ac:dyDescent="0.4">
      <c r="B100" s="1">
        <v>1</v>
      </c>
      <c r="C100" s="298" t="s">
        <v>9</v>
      </c>
      <c r="D100" s="298"/>
      <c r="E100" s="298"/>
      <c r="F100" s="58">
        <f>MOD_1_REMUNERACAO_44H</f>
        <v>1821.39</v>
      </c>
    </row>
    <row r="101" spans="2:6" s="110" customFormat="1" ht="16.5" customHeight="1" x14ac:dyDescent="0.4">
      <c r="B101" s="2">
        <v>2</v>
      </c>
      <c r="C101" s="300" t="s">
        <v>100</v>
      </c>
      <c r="D101" s="300"/>
      <c r="E101" s="300"/>
      <c r="F101" s="36">
        <f>MOD_2_ENCARGOS_BENEFICIOS_44H</f>
        <v>1622.02</v>
      </c>
    </row>
    <row r="102" spans="2:6" s="110" customFormat="1" x14ac:dyDescent="0.4">
      <c r="B102" s="2">
        <v>3</v>
      </c>
      <c r="C102" s="298" t="s">
        <v>48</v>
      </c>
      <c r="D102" s="298"/>
      <c r="E102" s="298"/>
      <c r="F102" s="58">
        <f>MOD_3_PROVISAO_RESCISAO_44H</f>
        <v>48.87</v>
      </c>
    </row>
    <row r="103" spans="2:6" s="110" customFormat="1" x14ac:dyDescent="0.4">
      <c r="B103" s="2">
        <v>4</v>
      </c>
      <c r="C103" s="300" t="s">
        <v>51</v>
      </c>
      <c r="D103" s="300"/>
      <c r="E103" s="300"/>
      <c r="F103" s="36">
        <f>MOD_4_CUSTO_REPOSICAO_44H</f>
        <v>722.21</v>
      </c>
    </row>
    <row r="104" spans="2:6" s="110" customFormat="1" x14ac:dyDescent="0.4">
      <c r="B104" s="2">
        <v>5</v>
      </c>
      <c r="C104" s="298" t="s">
        <v>0</v>
      </c>
      <c r="D104" s="298"/>
      <c r="E104" s="298"/>
      <c r="F104" s="58">
        <f>MOD_5_INSUMOS_44H</f>
        <v>330.2</v>
      </c>
    </row>
    <row r="105" spans="2:6" s="110" customFormat="1" x14ac:dyDescent="0.4">
      <c r="B105" s="2">
        <v>6</v>
      </c>
      <c r="C105" s="300" t="s">
        <v>20</v>
      </c>
      <c r="D105" s="300"/>
      <c r="E105" s="300"/>
      <c r="F105" s="36">
        <f>MOD_6_CUSTOS_IND_LUCRO_TRIB_44H</f>
        <v>955.92</v>
      </c>
    </row>
    <row r="106" spans="2:6" s="110" customFormat="1" x14ac:dyDescent="0.4">
      <c r="B106" s="2">
        <v>7</v>
      </c>
      <c r="C106" s="149" t="str">
        <f>C97</f>
        <v>Dia do Vigilante - Clausula 82ª CCT - Jornada 44h</v>
      </c>
      <c r="D106" s="146"/>
      <c r="E106" s="146"/>
      <c r="F106" s="36">
        <f>F97</f>
        <v>12.14</v>
      </c>
    </row>
    <row r="107" spans="2:6" ht="16.5" customHeight="1" x14ac:dyDescent="0.4">
      <c r="B107" s="302" t="s">
        <v>101</v>
      </c>
      <c r="C107" s="302"/>
      <c r="D107" s="302"/>
      <c r="E107" s="302"/>
      <c r="F107" s="37">
        <f>SUM(F100:F106)</f>
        <v>5512.75</v>
      </c>
    </row>
    <row r="108" spans="2:6" ht="16.5" customHeight="1" x14ac:dyDescent="0.4">
      <c r="B108" s="302" t="s">
        <v>30</v>
      </c>
      <c r="C108" s="302"/>
      <c r="D108" s="302"/>
      <c r="E108" s="302"/>
      <c r="F108" s="37">
        <f>VALOR_TOTAL_EMPREGADO_44H*EMPREG_POR_POSTO_44H</f>
        <v>5512.75</v>
      </c>
    </row>
    <row r="109" spans="2:6" x14ac:dyDescent="0.4">
      <c r="B109" s="22"/>
      <c r="C109" s="15"/>
      <c r="D109" s="15"/>
      <c r="E109" s="15"/>
      <c r="F109" s="23"/>
    </row>
  </sheetData>
  <mergeCells count="90">
    <mergeCell ref="C103:E103"/>
    <mergeCell ref="C104:E104"/>
    <mergeCell ref="C105:E105"/>
    <mergeCell ref="B107:E107"/>
    <mergeCell ref="B108:E108"/>
    <mergeCell ref="C102:E102"/>
    <mergeCell ref="C88:D88"/>
    <mergeCell ref="C89:D89"/>
    <mergeCell ref="C90:D90"/>
    <mergeCell ref="C91:D91"/>
    <mergeCell ref="C92:D92"/>
    <mergeCell ref="C93:D93"/>
    <mergeCell ref="C94:D94"/>
    <mergeCell ref="B95:E95"/>
    <mergeCell ref="C99:E99"/>
    <mergeCell ref="C100:E100"/>
    <mergeCell ref="C101:E101"/>
    <mergeCell ref="B96:F96"/>
    <mergeCell ref="C97:E97"/>
    <mergeCell ref="B87:F87"/>
    <mergeCell ref="C70:D70"/>
    <mergeCell ref="C71:D71"/>
    <mergeCell ref="B72:E72"/>
    <mergeCell ref="C76:E76"/>
    <mergeCell ref="B77:E77"/>
    <mergeCell ref="C80:E80"/>
    <mergeCell ref="C81:E81"/>
    <mergeCell ref="C82:E82"/>
    <mergeCell ref="C83:E83"/>
    <mergeCell ref="C84:E84"/>
    <mergeCell ref="B85:E85"/>
    <mergeCell ref="C69:D69"/>
    <mergeCell ref="C53:E53"/>
    <mergeCell ref="B54:E54"/>
    <mergeCell ref="C57:D57"/>
    <mergeCell ref="C58:D58"/>
    <mergeCell ref="C59:D59"/>
    <mergeCell ref="C60:D60"/>
    <mergeCell ref="B61:E61"/>
    <mergeCell ref="C65:D65"/>
    <mergeCell ref="C66:D66"/>
    <mergeCell ref="C67:D67"/>
    <mergeCell ref="C68:D68"/>
    <mergeCell ref="C52:E52"/>
    <mergeCell ref="C40:D40"/>
    <mergeCell ref="C41:D41"/>
    <mergeCell ref="C42:D42"/>
    <mergeCell ref="C43:D43"/>
    <mergeCell ref="C44:D44"/>
    <mergeCell ref="C45:D45"/>
    <mergeCell ref="B46:E46"/>
    <mergeCell ref="C48:E48"/>
    <mergeCell ref="C49:E49"/>
    <mergeCell ref="C50:E50"/>
    <mergeCell ref="C51:E51"/>
    <mergeCell ref="C39:D39"/>
    <mergeCell ref="C26:E26"/>
    <mergeCell ref="C27:E27"/>
    <mergeCell ref="B28:E28"/>
    <mergeCell ref="C32:D32"/>
    <mergeCell ref="C33:D33"/>
    <mergeCell ref="C34:D34"/>
    <mergeCell ref="B35:E35"/>
    <mergeCell ref="B36:F36"/>
    <mergeCell ref="C37:D37"/>
    <mergeCell ref="C38:D38"/>
    <mergeCell ref="C25:E25"/>
    <mergeCell ref="C11:E11"/>
    <mergeCell ref="C12:E12"/>
    <mergeCell ref="C15:D15"/>
    <mergeCell ref="E15:F15"/>
    <mergeCell ref="D16:F16"/>
    <mergeCell ref="D17:F17"/>
    <mergeCell ref="C18:E18"/>
    <mergeCell ref="B20:F20"/>
    <mergeCell ref="B21:E21"/>
    <mergeCell ref="C23:E23"/>
    <mergeCell ref="C24:E24"/>
    <mergeCell ref="C10:E10"/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</mergeCells>
  <printOptions horizontalCentered="1"/>
  <pageMargins left="0.17" right="0.17" top="0.23" bottom="0.17" header="0.25" footer="0.17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5"/>
  <sheetViews>
    <sheetView topLeftCell="A69" zoomScaleNormal="100" zoomScaleSheetLayoutView="100" workbookViewId="0">
      <selection activeCell="F73" sqref="F73"/>
    </sheetView>
  </sheetViews>
  <sheetFormatPr defaultColWidth="9.109375" defaultRowHeight="16.8" x14ac:dyDescent="0.4"/>
  <cols>
    <col min="1" max="1" width="2.6640625" style="13" customWidth="1"/>
    <col min="2" max="2" width="8.88671875" style="13" customWidth="1"/>
    <col min="3" max="3" width="52.5546875" style="19" customWidth="1"/>
    <col min="4" max="4" width="7.88671875" style="19" customWidth="1"/>
    <col min="5" max="5" width="13.5546875" style="19" customWidth="1"/>
    <col min="6" max="6" width="15.44140625" style="19" bestFit="1" customWidth="1"/>
    <col min="7" max="7" width="15.44140625" style="13" customWidth="1"/>
    <col min="8" max="8" width="65.33203125" style="13" customWidth="1"/>
    <col min="9" max="10" width="12.5546875" style="13" bestFit="1" customWidth="1"/>
    <col min="11" max="16384" width="9.109375" style="13"/>
  </cols>
  <sheetData>
    <row r="1" spans="2:6" ht="20.399999999999999" x14ac:dyDescent="0.45">
      <c r="B1" s="313" t="str">
        <f>RAMO</f>
        <v>RAMO: MINISTÉRIO PÚBLIC FEDERAL</v>
      </c>
      <c r="C1" s="314"/>
      <c r="D1" s="314"/>
      <c r="E1" s="314"/>
      <c r="F1" s="315"/>
    </row>
    <row r="2" spans="2:6" ht="20.399999999999999" x14ac:dyDescent="0.45">
      <c r="B2" s="316" t="str">
        <f>UG</f>
        <v>UNIDADE GESTORA (SIGLA): PR-PA</v>
      </c>
      <c r="C2" s="317"/>
      <c r="D2" s="318"/>
      <c r="E2" s="113" t="s">
        <v>57</v>
      </c>
      <c r="F2" s="114" t="str">
        <f>DATA_DO_ORCAMENTO_ESTIMATIVO</f>
        <v>XX/XX/20XX</v>
      </c>
    </row>
    <row r="3" spans="2:6" s="98" customFormat="1" ht="24.6" x14ac:dyDescent="0.55000000000000004">
      <c r="B3" s="281" t="s">
        <v>54</v>
      </c>
      <c r="C3" s="281"/>
      <c r="D3" s="281"/>
      <c r="E3" s="281"/>
      <c r="F3" s="281"/>
    </row>
    <row r="4" spans="2:6" s="98" customFormat="1" ht="15.9" customHeight="1" x14ac:dyDescent="0.4">
      <c r="B4" s="282" t="s">
        <v>97</v>
      </c>
      <c r="C4" s="282"/>
      <c r="D4" s="282"/>
      <c r="E4" s="282"/>
      <c r="F4" s="282"/>
    </row>
    <row r="5" spans="2:6" s="98" customFormat="1" ht="15.9" customHeight="1" x14ac:dyDescent="0.4">
      <c r="B5" s="285" t="s">
        <v>223</v>
      </c>
      <c r="C5" s="285"/>
      <c r="D5" s="319" t="str">
        <f>NUMERO_PROCESSO</f>
        <v>1.23.000.000855/2020-32</v>
      </c>
      <c r="E5" s="319"/>
      <c r="F5" s="319"/>
    </row>
    <row r="6" spans="2:6" s="98" customFormat="1" ht="15.75" customHeight="1" x14ac:dyDescent="0.4">
      <c r="B6" s="289" t="s">
        <v>224</v>
      </c>
      <c r="C6" s="289"/>
      <c r="D6" s="320" t="str">
        <f>MODALIDADE_DE_LICITACAO</f>
        <v>Pregão nº</v>
      </c>
      <c r="E6" s="320"/>
      <c r="F6" s="118" t="str">
        <f>NUMERO_PREGAO</f>
        <v>XX/20XX</v>
      </c>
    </row>
    <row r="7" spans="2:6" s="99" customFormat="1" ht="15.75" customHeight="1" x14ac:dyDescent="0.45">
      <c r="B7" s="321" t="s">
        <v>58</v>
      </c>
      <c r="C7" s="321"/>
      <c r="D7" s="321"/>
      <c r="E7" s="321"/>
      <c r="F7" s="321"/>
    </row>
    <row r="8" spans="2:6" s="98" customFormat="1" ht="18" customHeight="1" x14ac:dyDescent="0.4">
      <c r="B8" s="25" t="s">
        <v>2</v>
      </c>
      <c r="C8" s="285" t="s">
        <v>63</v>
      </c>
      <c r="D8" s="285"/>
      <c r="E8" s="285"/>
      <c r="F8" s="119" t="str">
        <f>DATA_APRESENTACAO_PROPOSTA</f>
        <v>XX/XX/20XX</v>
      </c>
    </row>
    <row r="9" spans="2:6" s="98" customFormat="1" ht="15.9" customHeight="1" x14ac:dyDescent="0.25">
      <c r="B9" s="1" t="s">
        <v>3</v>
      </c>
      <c r="C9" s="67" t="s">
        <v>36</v>
      </c>
      <c r="D9" s="311" t="s">
        <v>275</v>
      </c>
      <c r="E9" s="311"/>
      <c r="F9" s="311"/>
    </row>
    <row r="10" spans="2:6" s="98" customFormat="1" ht="18.75" customHeight="1" x14ac:dyDescent="0.4">
      <c r="B10" s="25" t="s">
        <v>4</v>
      </c>
      <c r="C10" s="285" t="s">
        <v>37</v>
      </c>
      <c r="D10" s="285"/>
      <c r="E10" s="285"/>
      <c r="F10" s="120" t="str">
        <f>ACORDO_COLETIVO</f>
        <v>CCT 2020/2021</v>
      </c>
    </row>
    <row r="11" spans="2:6" s="98" customFormat="1" ht="15.9" customHeight="1" x14ac:dyDescent="0.4">
      <c r="B11" s="1" t="s">
        <v>5</v>
      </c>
      <c r="C11" s="311" t="s">
        <v>64</v>
      </c>
      <c r="D11" s="311"/>
      <c r="E11" s="311"/>
      <c r="F11" s="121">
        <f>NUMERO_MESES_EXEC_CONTRATUAL</f>
        <v>12</v>
      </c>
    </row>
    <row r="12" spans="2:6" s="98" customFormat="1" x14ac:dyDescent="0.4">
      <c r="B12" s="1" t="s">
        <v>6</v>
      </c>
      <c r="C12" s="312" t="s">
        <v>85</v>
      </c>
      <c r="D12" s="312"/>
      <c r="E12" s="312"/>
      <c r="F12" s="102">
        <v>2</v>
      </c>
    </row>
    <row r="13" spans="2:6" s="98" customFormat="1" ht="7.5" customHeight="1" x14ac:dyDescent="0.4">
      <c r="B13" s="122"/>
      <c r="C13" s="123"/>
      <c r="D13" s="123"/>
      <c r="E13" s="123"/>
      <c r="F13" s="104"/>
    </row>
    <row r="14" spans="2:6" s="98" customFormat="1" ht="21" customHeight="1" x14ac:dyDescent="0.55000000000000004">
      <c r="B14" s="106" t="s">
        <v>205</v>
      </c>
      <c r="C14" s="13"/>
      <c r="D14" s="13"/>
      <c r="E14" s="13"/>
      <c r="F14" s="13"/>
    </row>
    <row r="15" spans="2:6" s="98" customFormat="1" x14ac:dyDescent="0.4">
      <c r="B15" s="25">
        <v>1</v>
      </c>
      <c r="C15" s="243" t="s">
        <v>60</v>
      </c>
      <c r="D15" s="243"/>
      <c r="E15" s="247" t="str">
        <f>TIPO_DE_SERVICO</f>
        <v>Vigilância</v>
      </c>
      <c r="F15" s="247"/>
    </row>
    <row r="16" spans="2:6" s="99" customFormat="1" x14ac:dyDescent="0.4">
      <c r="B16" s="25">
        <v>2</v>
      </c>
      <c r="C16" s="27" t="s">
        <v>59</v>
      </c>
      <c r="D16" s="246" t="str">
        <f>CBO</f>
        <v>5173-30</v>
      </c>
      <c r="E16" s="246"/>
      <c r="F16" s="246"/>
    </row>
    <row r="17" spans="2:6" s="98" customFormat="1" ht="15" customHeight="1" x14ac:dyDescent="0.4">
      <c r="B17" s="25">
        <v>3</v>
      </c>
      <c r="C17" s="56" t="s">
        <v>61</v>
      </c>
      <c r="D17" s="247" t="str">
        <f>CATEGORIA_PROFISSIONAL</f>
        <v>Vigilante</v>
      </c>
      <c r="E17" s="247"/>
      <c r="F17" s="247"/>
    </row>
    <row r="18" spans="2:6" s="98" customFormat="1" ht="15" customHeight="1" x14ac:dyDescent="0.4">
      <c r="B18" s="25">
        <v>4</v>
      </c>
      <c r="C18" s="248" t="s">
        <v>62</v>
      </c>
      <c r="D18" s="248"/>
      <c r="E18" s="248"/>
      <c r="F18" s="135">
        <f>DATA_BASE_CATEGORIA</f>
        <v>43831</v>
      </c>
    </row>
    <row r="19" spans="2:6" s="98" customFormat="1" ht="15" customHeight="1" x14ac:dyDescent="0.4">
      <c r="B19" s="28"/>
      <c r="C19" s="29"/>
      <c r="D19" s="29"/>
      <c r="E19" s="29"/>
      <c r="F19" s="105"/>
    </row>
    <row r="20" spans="2:6" s="124" customFormat="1" ht="30" customHeight="1" x14ac:dyDescent="0.4">
      <c r="B20" s="322" t="s">
        <v>40</v>
      </c>
      <c r="C20" s="322"/>
      <c r="D20" s="322"/>
      <c r="E20" s="322"/>
      <c r="F20" s="322"/>
    </row>
    <row r="21" spans="2:6" x14ac:dyDescent="0.4">
      <c r="B21" s="260" t="s">
        <v>52</v>
      </c>
      <c r="C21" s="260"/>
      <c r="D21" s="260"/>
      <c r="E21" s="260"/>
      <c r="F21" s="117">
        <v>2</v>
      </c>
    </row>
    <row r="22" spans="2:6" x14ac:dyDescent="0.4">
      <c r="B22" s="51" t="s">
        <v>8</v>
      </c>
      <c r="E22" s="14"/>
      <c r="F22" s="14"/>
    </row>
    <row r="23" spans="2:6" x14ac:dyDescent="0.4">
      <c r="B23" s="1">
        <v>1</v>
      </c>
      <c r="C23" s="244" t="s">
        <v>9</v>
      </c>
      <c r="D23" s="323"/>
      <c r="E23" s="245"/>
      <c r="F23" s="4" t="s">
        <v>13</v>
      </c>
    </row>
    <row r="24" spans="2:6" x14ac:dyDescent="0.4">
      <c r="B24" s="1" t="s">
        <v>2</v>
      </c>
      <c r="C24" s="275" t="s">
        <v>92</v>
      </c>
      <c r="D24" s="276"/>
      <c r="E24" s="277"/>
      <c r="F24" s="57">
        <f>SALARIO_BASE</f>
        <v>1401.07</v>
      </c>
    </row>
    <row r="25" spans="2:6" x14ac:dyDescent="0.4">
      <c r="B25" s="1" t="s">
        <v>3</v>
      </c>
      <c r="C25" s="251" t="s">
        <v>94</v>
      </c>
      <c r="D25" s="252"/>
      <c r="E25" s="253"/>
      <c r="F25" s="10">
        <f>PERC_ADIC_PERIC%*SALARIO_BASE</f>
        <v>420.32</v>
      </c>
    </row>
    <row r="26" spans="2:6" x14ac:dyDescent="0.4">
      <c r="B26" s="1" t="s">
        <v>4</v>
      </c>
      <c r="C26" s="305" t="str">
        <f>OUTROS_REMUNERACAO_1_DESCRICAO</f>
        <v>DSR - Adicional noturno - 1/6</v>
      </c>
      <c r="D26" s="306"/>
      <c r="E26" s="307"/>
      <c r="F26" s="57">
        <v>0</v>
      </c>
    </row>
    <row r="27" spans="2:6" x14ac:dyDescent="0.4">
      <c r="B27" s="1" t="s">
        <v>5</v>
      </c>
      <c r="C27" s="305" t="str">
        <f>OUTROS_REMUNERACAO_2_DESCRICAO</f>
        <v>DSR - Hora noturna reduzida - 1/6</v>
      </c>
      <c r="D27" s="306"/>
      <c r="E27" s="307"/>
      <c r="F27" s="10">
        <f>OUTROS_REMUNERACAO_2</f>
        <v>0</v>
      </c>
    </row>
    <row r="28" spans="2:6" x14ac:dyDescent="0.4">
      <c r="B28" s="268" t="s">
        <v>46</v>
      </c>
      <c r="C28" s="269"/>
      <c r="D28" s="269"/>
      <c r="E28" s="270"/>
      <c r="F28" s="40">
        <f>SUM(F24:F27)</f>
        <v>1821.39</v>
      </c>
    </row>
    <row r="29" spans="2:6" x14ac:dyDescent="0.4">
      <c r="B29" s="51" t="s">
        <v>65</v>
      </c>
      <c r="E29" s="21"/>
      <c r="F29" s="21"/>
    </row>
    <row r="30" spans="2:6" x14ac:dyDescent="0.4">
      <c r="B30" s="51" t="s">
        <v>110</v>
      </c>
      <c r="C30" s="12"/>
      <c r="D30" s="22"/>
      <c r="E30" s="20"/>
      <c r="F30" s="20"/>
    </row>
    <row r="31" spans="2:6" x14ac:dyDescent="0.4">
      <c r="B31" s="1" t="s">
        <v>66</v>
      </c>
      <c r="C31" s="268" t="s">
        <v>93</v>
      </c>
      <c r="D31" s="270"/>
      <c r="E31" s="4" t="s">
        <v>1</v>
      </c>
      <c r="F31" s="4" t="s">
        <v>13</v>
      </c>
    </row>
    <row r="32" spans="2:6" x14ac:dyDescent="0.4">
      <c r="B32" s="1" t="s">
        <v>2</v>
      </c>
      <c r="C32" s="275" t="s">
        <v>47</v>
      </c>
      <c r="D32" s="276"/>
      <c r="E32" s="59">
        <f>PERC_DEC_TERC</f>
        <v>8.33</v>
      </c>
      <c r="F32" s="58">
        <f>PERC_DEC_TERC%*(MOD_1_REMUNERACAO_12X36_DIU)</f>
        <v>151.72</v>
      </c>
    </row>
    <row r="33" spans="2:8" s="17" customFormat="1" x14ac:dyDescent="0.4">
      <c r="B33" s="2" t="s">
        <v>3</v>
      </c>
      <c r="C33" s="251" t="s">
        <v>95</v>
      </c>
      <c r="D33" s="253"/>
      <c r="E33" s="38">
        <f>PERC_ADIC_FERIAS</f>
        <v>2.78</v>
      </c>
      <c r="F33" s="36">
        <f>PERC_ADIC_FERIAS%*(MOD_1_REMUNERACAO_12X36_DIU)</f>
        <v>50.63</v>
      </c>
    </row>
    <row r="34" spans="2:8" s="107" customFormat="1" x14ac:dyDescent="0.4">
      <c r="B34" s="268" t="s">
        <v>46</v>
      </c>
      <c r="C34" s="269"/>
      <c r="D34" s="269"/>
      <c r="E34" s="270"/>
      <c r="F34" s="41">
        <f>SUM(F32:F33)</f>
        <v>202.35</v>
      </c>
    </row>
    <row r="35" spans="2:8" s="107" customFormat="1" ht="31.5" customHeight="1" x14ac:dyDescent="0.4">
      <c r="B35" s="308" t="s">
        <v>68</v>
      </c>
      <c r="C35" s="308"/>
      <c r="D35" s="308"/>
      <c r="E35" s="308"/>
      <c r="F35" s="308"/>
    </row>
    <row r="36" spans="2:8" s="107" customFormat="1" ht="34.5" customHeight="1" x14ac:dyDescent="0.4">
      <c r="B36" s="1" t="s">
        <v>69</v>
      </c>
      <c r="C36" s="309" t="s">
        <v>96</v>
      </c>
      <c r="D36" s="310"/>
      <c r="E36" s="4" t="s">
        <v>1</v>
      </c>
      <c r="F36" s="4" t="s">
        <v>13</v>
      </c>
    </row>
    <row r="37" spans="2:8" x14ac:dyDescent="0.4">
      <c r="B37" s="1" t="s">
        <v>2</v>
      </c>
      <c r="C37" s="275" t="s">
        <v>41</v>
      </c>
      <c r="D37" s="276"/>
      <c r="E37" s="59">
        <f>PERC_INSS</f>
        <v>20</v>
      </c>
      <c r="F37" s="58">
        <f>PERC_INSS%*(MOD_1_REMUNERACAO_12X36_DIU+SUBMOD_2_1_DEC_TERC_ADIC_FERIAS_12X36_DIU)</f>
        <v>404.75</v>
      </c>
    </row>
    <row r="38" spans="2:8" s="98" customFormat="1" x14ac:dyDescent="0.4">
      <c r="B38" s="2" t="s">
        <v>3</v>
      </c>
      <c r="C38" s="251" t="s">
        <v>43</v>
      </c>
      <c r="D38" s="253"/>
      <c r="E38" s="46">
        <f>PERC_SAL_EDUCACAO</f>
        <v>2.5</v>
      </c>
      <c r="F38" s="36">
        <f>PERC_SAL_EDUCACAO%*(MOD_1_REMUNERACAO_12X36_DIU+SUBMOD_2_1_DEC_TERC_ADIC_FERIAS_12X36_DIU)</f>
        <v>50.59</v>
      </c>
      <c r="G38" s="13"/>
      <c r="H38" s="13"/>
    </row>
    <row r="39" spans="2:8" s="98" customFormat="1" x14ac:dyDescent="0.4">
      <c r="B39" s="2" t="s">
        <v>4</v>
      </c>
      <c r="C39" s="275" t="s">
        <v>236</v>
      </c>
      <c r="D39" s="276"/>
      <c r="E39" s="59">
        <f>PERC_RAT</f>
        <v>6</v>
      </c>
      <c r="F39" s="58">
        <f>PERC_RAT%*(MOD_1_REMUNERACAO_12X36_DIU+SUBMOD_2_1_DEC_TERC_ADIC_FERIAS_12X36_DIU)</f>
        <v>121.42</v>
      </c>
      <c r="G39" s="13"/>
      <c r="H39" s="13"/>
    </row>
    <row r="40" spans="2:8" s="98" customFormat="1" x14ac:dyDescent="0.4">
      <c r="B40" s="2" t="s">
        <v>5</v>
      </c>
      <c r="C40" s="251" t="s">
        <v>88</v>
      </c>
      <c r="D40" s="253"/>
      <c r="E40" s="38">
        <f>PERC_SESC</f>
        <v>1.5</v>
      </c>
      <c r="F40" s="36">
        <f>PERC_SESC%*(MOD_1_REMUNERACAO_12X36_DIU+SUBMOD_2_1_DEC_TERC_ADIC_FERIAS_12X36_DIU)</f>
        <v>30.36</v>
      </c>
      <c r="G40" s="13"/>
      <c r="H40" s="13"/>
    </row>
    <row r="41" spans="2:8" s="98" customFormat="1" x14ac:dyDescent="0.4">
      <c r="B41" s="2" t="s">
        <v>6</v>
      </c>
      <c r="C41" s="275" t="s">
        <v>89</v>
      </c>
      <c r="D41" s="276"/>
      <c r="E41" s="59">
        <f>PERC_SENAC</f>
        <v>1</v>
      </c>
      <c r="F41" s="58">
        <f>PERC_SENAC%*(MOD_1_REMUNERACAO_12X36_DIU+SUBMOD_2_1_DEC_TERC_ADIC_FERIAS_12X36_DIU)</f>
        <v>20.239999999999998</v>
      </c>
      <c r="G41" s="13"/>
      <c r="H41" s="13"/>
    </row>
    <row r="42" spans="2:8" s="99" customFormat="1" x14ac:dyDescent="0.4">
      <c r="B42" s="2" t="s">
        <v>7</v>
      </c>
      <c r="C42" s="251" t="s">
        <v>45</v>
      </c>
      <c r="D42" s="253"/>
      <c r="E42" s="46">
        <f>PERC_SEBRAE</f>
        <v>0.6</v>
      </c>
      <c r="F42" s="36">
        <f>PERC_SEBRAE%*(MOD_1_REMUNERACAO_12X36_DIU+SUBMOD_2_1_DEC_TERC_ADIC_FERIAS_12X36_DIU)</f>
        <v>12.14</v>
      </c>
      <c r="G42" s="13"/>
      <c r="H42" s="13"/>
    </row>
    <row r="43" spans="2:8" s="99" customFormat="1" x14ac:dyDescent="0.4">
      <c r="B43" s="2" t="s">
        <v>10</v>
      </c>
      <c r="C43" s="275" t="s">
        <v>42</v>
      </c>
      <c r="D43" s="276"/>
      <c r="E43" s="59">
        <f>PERC_INCRA</f>
        <v>0.2</v>
      </c>
      <c r="F43" s="58">
        <f>PERC_INCRA%*(MOD_1_REMUNERACAO_12X36_DIU+SUBMOD_2_1_DEC_TERC_ADIC_FERIAS_12X36_DIU)</f>
        <v>4.05</v>
      </c>
      <c r="G43" s="13"/>
      <c r="H43" s="13"/>
    </row>
    <row r="44" spans="2:8" x14ac:dyDescent="0.4">
      <c r="B44" s="2" t="s">
        <v>11</v>
      </c>
      <c r="C44" s="251" t="s">
        <v>44</v>
      </c>
      <c r="D44" s="253"/>
      <c r="E44" s="46">
        <f>PERC_FGTS</f>
        <v>8</v>
      </c>
      <c r="F44" s="36">
        <f>PERC_FGTS%*(MOD_1_REMUNERACAO_12X36_DIU+SUBMOD_2_1_DEC_TERC_ADIC_FERIAS_12X36_DIU)</f>
        <v>161.9</v>
      </c>
    </row>
    <row r="45" spans="2:8" x14ac:dyDescent="0.4">
      <c r="B45" s="268" t="s">
        <v>46</v>
      </c>
      <c r="C45" s="269"/>
      <c r="D45" s="269"/>
      <c r="E45" s="270"/>
      <c r="F45" s="42">
        <f>SUM(F37:F44)</f>
        <v>805.45</v>
      </c>
    </row>
    <row r="46" spans="2:8" ht="15.75" customHeight="1" x14ac:dyDescent="0.4">
      <c r="B46" s="51" t="s">
        <v>71</v>
      </c>
      <c r="C46" s="99"/>
      <c r="D46" s="99"/>
      <c r="E46" s="99"/>
      <c r="F46" s="99"/>
    </row>
    <row r="47" spans="2:8" ht="15.75" customHeight="1" x14ac:dyDescent="0.4">
      <c r="B47" s="1" t="s">
        <v>90</v>
      </c>
      <c r="C47" s="268" t="s">
        <v>14</v>
      </c>
      <c r="D47" s="269"/>
      <c r="E47" s="270"/>
      <c r="F47" s="4" t="s">
        <v>13</v>
      </c>
    </row>
    <row r="48" spans="2:8" x14ac:dyDescent="0.4">
      <c r="B48" s="25" t="s">
        <v>2</v>
      </c>
      <c r="C48" s="275" t="s">
        <v>15</v>
      </c>
      <c r="D48" s="276"/>
      <c r="E48" s="277"/>
      <c r="F48" s="58">
        <f>IF((((4*2)*DIAS_TRABALHADOS_NO_MES_12X36)-(PERC_DESC_TRANSP_REMUNERACAO%*(AL_1_A_SAL_BASE_12X36_DIU/2)))&gt;0,(((4*2)*DIAS_TRABALHADOS_NO_MES_12X36)-(PERC_DESC_TRANSP_REMUNERACAO%*(AL_1_A_SAL_BASE_12X36_DIU/2))),0)</f>
        <v>77.97</v>
      </c>
    </row>
    <row r="49" spans="2:7" s="107" customFormat="1" x14ac:dyDescent="0.4">
      <c r="B49" s="25" t="s">
        <v>3</v>
      </c>
      <c r="C49" s="251" t="s">
        <v>70</v>
      </c>
      <c r="D49" s="252"/>
      <c r="E49" s="253"/>
      <c r="F49" s="36">
        <f>ALIMENTACAO_POR_DIA*DIAS_TRABALHADOS_NO_MES_12X36*0.99</f>
        <v>386.1</v>
      </c>
      <c r="G49" s="13"/>
    </row>
    <row r="50" spans="2:7" s="107" customFormat="1" x14ac:dyDescent="0.4">
      <c r="B50" s="25" t="s">
        <v>4</v>
      </c>
      <c r="C50" s="275" t="str">
        <f>OUTROS_BENEFICIOS_1_DESCRICAO</f>
        <v>Auxílio saúde</v>
      </c>
      <c r="D50" s="276"/>
      <c r="E50" s="277"/>
      <c r="F50" s="58"/>
      <c r="G50" s="13"/>
    </row>
    <row r="51" spans="2:7" s="107" customFormat="1" x14ac:dyDescent="0.4">
      <c r="B51" s="25" t="s">
        <v>5</v>
      </c>
      <c r="C51" s="305" t="str">
        <f>OUTROS_BENEFICIOS_2_DESCRICAO</f>
        <v>Auxílio morte/funeral</v>
      </c>
      <c r="D51" s="306"/>
      <c r="E51" s="307"/>
      <c r="F51" s="36"/>
      <c r="G51" s="13"/>
    </row>
    <row r="52" spans="2:7" s="107" customFormat="1" x14ac:dyDescent="0.4">
      <c r="B52" s="25" t="s">
        <v>6</v>
      </c>
      <c r="C52" s="275" t="str">
        <f>OUTROS_BENEFICIOS_3_DESCRICAO</f>
        <v>Seguro de vida</v>
      </c>
      <c r="D52" s="276"/>
      <c r="E52" s="277"/>
      <c r="F52" s="58"/>
    </row>
    <row r="53" spans="2:7" s="107" customFormat="1" ht="15" customHeight="1" x14ac:dyDescent="0.4">
      <c r="B53" s="268" t="s">
        <v>46</v>
      </c>
      <c r="C53" s="269"/>
      <c r="D53" s="269"/>
      <c r="E53" s="270"/>
      <c r="F53" s="40">
        <f>SUM(F48:F52)</f>
        <v>464.07</v>
      </c>
    </row>
    <row r="54" spans="2:7" s="107" customFormat="1" x14ac:dyDescent="0.4">
      <c r="B54" s="51" t="s">
        <v>72</v>
      </c>
      <c r="C54" s="12"/>
      <c r="D54" s="22"/>
      <c r="E54" s="20"/>
      <c r="F54" s="20"/>
    </row>
    <row r="55" spans="2:7" s="107" customFormat="1" ht="15" customHeight="1" x14ac:dyDescent="0.4">
      <c r="B55" s="1">
        <v>3</v>
      </c>
      <c r="C55" s="260" t="s">
        <v>48</v>
      </c>
      <c r="D55" s="260"/>
      <c r="E55" s="4" t="s">
        <v>1</v>
      </c>
      <c r="F55" s="4" t="s">
        <v>13</v>
      </c>
    </row>
    <row r="56" spans="2:7" s="107" customFormat="1" x14ac:dyDescent="0.4">
      <c r="B56" s="1" t="s">
        <v>2</v>
      </c>
      <c r="C56" s="301" t="s">
        <v>49</v>
      </c>
      <c r="D56" s="301"/>
      <c r="E56" s="59">
        <f>PERC_AVISO_PREVIO_IND</f>
        <v>0.28999999999999998</v>
      </c>
      <c r="F56" s="58">
        <f>PERC_AVISO_PREVIO_IND%*(MOD_1_REMUNERACAO_12X36_DIU+SUBMOD_2_1_DEC_TERC_ADIC_FERIAS_12X36_DIU+AL_2_2_FGTS_12X36_DIU+SUBMOD_2_3_BENEFICIOS_12X36_DIU)</f>
        <v>7.68</v>
      </c>
    </row>
    <row r="57" spans="2:7" s="107" customFormat="1" x14ac:dyDescent="0.4">
      <c r="B57" s="2" t="s">
        <v>3</v>
      </c>
      <c r="C57" s="303" t="s">
        <v>50</v>
      </c>
      <c r="D57" s="303"/>
      <c r="E57" s="46">
        <f>PERC_AVISO_PREVIO_TRAB</f>
        <v>1.1599999999999999</v>
      </c>
      <c r="F57" s="36">
        <f>PERC_AVISO_PREVIO_TRAB%*(MOD_1_REMUNERACAO_12X36_DIU+SUBMOD_2_1_DEC_TERC_ADIC_FERIAS_12X36_DIU+SUBMOD_2_2_GPS_FGTS_12X36_DIU+SUBMOD_2_3_BENEFICIOS_12X36_DIU)</f>
        <v>38.200000000000003</v>
      </c>
    </row>
    <row r="58" spans="2:7" s="98" customFormat="1" x14ac:dyDescent="0.25">
      <c r="B58" s="2" t="s">
        <v>4</v>
      </c>
      <c r="C58" s="301" t="s">
        <v>232</v>
      </c>
      <c r="D58" s="301"/>
      <c r="E58" s="59">
        <f>PERC_MULTA_FGTS_AV_PREV_TRAB</f>
        <v>0.04</v>
      </c>
      <c r="F58" s="58">
        <f>PERC_MULTA_FGTS_AV_PREV_TRAB%*(MOD_1_REMUNERACAO_12X36_DIU+SUBMOD_2_1_DEC_TERC_ADIC_FERIAS_12X36_DIU)</f>
        <v>0.81</v>
      </c>
    </row>
    <row r="59" spans="2:7" s="98" customFormat="1" x14ac:dyDescent="0.4">
      <c r="B59" s="268" t="s">
        <v>46</v>
      </c>
      <c r="C59" s="269"/>
      <c r="D59" s="269"/>
      <c r="E59" s="270"/>
      <c r="F59" s="41">
        <f>SUM(F56:F58)</f>
        <v>46.69</v>
      </c>
    </row>
    <row r="60" spans="2:7" ht="7.5" customHeight="1" x14ac:dyDescent="0.4">
      <c r="B60" s="16"/>
      <c r="C60" s="17"/>
      <c r="D60" s="18"/>
      <c r="E60" s="14"/>
      <c r="F60" s="14"/>
    </row>
    <row r="61" spans="2:7" s="98" customFormat="1" ht="15.9" customHeight="1" x14ac:dyDescent="0.4">
      <c r="B61" s="51" t="s">
        <v>73</v>
      </c>
      <c r="C61" s="12"/>
      <c r="D61" s="22"/>
      <c r="E61" s="13"/>
      <c r="F61" s="13"/>
    </row>
    <row r="62" spans="2:7" s="98" customFormat="1" ht="15.9" customHeight="1" x14ac:dyDescent="0.4">
      <c r="B62" s="51" t="s">
        <v>102</v>
      </c>
      <c r="C62" s="12"/>
      <c r="D62" s="22"/>
      <c r="E62" s="20"/>
      <c r="F62" s="20"/>
    </row>
    <row r="63" spans="2:7" s="98" customFormat="1" x14ac:dyDescent="0.25">
      <c r="B63" s="1" t="s">
        <v>18</v>
      </c>
      <c r="C63" s="302" t="s">
        <v>103</v>
      </c>
      <c r="D63" s="302"/>
      <c r="E63" s="4" t="s">
        <v>1</v>
      </c>
      <c r="F63" s="4" t="s">
        <v>13</v>
      </c>
    </row>
    <row r="64" spans="2:7" s="98" customFormat="1" ht="15.9" customHeight="1" x14ac:dyDescent="0.25">
      <c r="B64" s="2" t="s">
        <v>2</v>
      </c>
      <c r="C64" s="298" t="s">
        <v>104</v>
      </c>
      <c r="D64" s="298"/>
      <c r="E64" s="59">
        <f>PERC_SUBSTITUTO_FERIAS</f>
        <v>8.33</v>
      </c>
      <c r="F64" s="58">
        <f>PERC_SUBSTITUTO_FERIAS%*(MOD_1_REMUNERACAO_12X36_DIU+MOD_2_ENCARGOS_BENEFICIOS_12X36_DIU+MOD_3_PROVISAO_RESCISAO_12X36_DIU)</f>
        <v>278.22000000000003</v>
      </c>
    </row>
    <row r="65" spans="2:7" s="98" customFormat="1" ht="15.9" customHeight="1" x14ac:dyDescent="0.25">
      <c r="B65" s="2" t="s">
        <v>3</v>
      </c>
      <c r="C65" s="300" t="s">
        <v>105</v>
      </c>
      <c r="D65" s="300"/>
      <c r="E65" s="46">
        <f>PERC_SUBSTITUTO_AUSENCIAS_LEGAIS</f>
        <v>2.2200000000000002</v>
      </c>
      <c r="F65" s="36">
        <f>PERC_SUBSTITUTO_AUSENCIAS_LEGAIS%*(MOD_1_REMUNERACAO_12X36_DIU+MOD_2_ENCARGOS_BENEFICIOS_12X36_DIU+MOD_3_PROVISAO_RESCISAO_12X36_DIU)</f>
        <v>74.150000000000006</v>
      </c>
    </row>
    <row r="66" spans="2:7" s="98" customFormat="1" ht="15.9" customHeight="1" x14ac:dyDescent="0.25">
      <c r="B66" s="2" t="s">
        <v>4</v>
      </c>
      <c r="C66" s="298" t="s">
        <v>106</v>
      </c>
      <c r="D66" s="298"/>
      <c r="E66" s="59">
        <f>PERC_SUBSTITUTO_LICENCA_PATERNIDADE</f>
        <v>7.0000000000000007E-2</v>
      </c>
      <c r="F66" s="58">
        <f>PERC_SUBSTITUTO_LICENCA_PATERNIDADE%*(MOD_1_REMUNERACAO_12X36_DIU+MOD_2_ENCARGOS_BENEFICIOS_12X36_DIU+MOD_3_PROVISAO_RESCISAO_12X36_DIU)</f>
        <v>2.34</v>
      </c>
    </row>
    <row r="67" spans="2:7" s="98" customFormat="1" x14ac:dyDescent="0.25">
      <c r="B67" s="2" t="s">
        <v>5</v>
      </c>
      <c r="C67" s="300" t="s">
        <v>107</v>
      </c>
      <c r="D67" s="300"/>
      <c r="E67" s="46">
        <f>PERC_SUBSTITUTO_ACID_TRAB</f>
        <v>0.02</v>
      </c>
      <c r="F67" s="36">
        <f>PERC_SUBSTITUTO_ACID_TRAB%*(MOD_1_REMUNERACAO_12X36_DIU+MOD_2_ENCARGOS_BENEFICIOS_12X36_DIU+MOD_3_PROVISAO_RESCISAO_12X36_DIU)</f>
        <v>0.67</v>
      </c>
    </row>
    <row r="68" spans="2:7" s="98" customFormat="1" x14ac:dyDescent="0.25">
      <c r="B68" s="2" t="s">
        <v>6</v>
      </c>
      <c r="C68" s="298" t="s">
        <v>108</v>
      </c>
      <c r="D68" s="298"/>
      <c r="E68" s="59">
        <f>PERC_SUBSTITUTO_AFAST_MATERN</f>
        <v>0.04</v>
      </c>
      <c r="F68" s="58">
        <f>PERC_SUBSTITUTO_AFAST_MATERN%*(MOD_1_REMUNERACAO_12X36_DIU+MOD_2_ENCARGOS_BENEFICIOS_12X36_DIU+MOD_3_PROVISAO_RESCISAO_12X36_DIU)</f>
        <v>1.34</v>
      </c>
    </row>
    <row r="69" spans="2:7" s="98" customFormat="1" x14ac:dyDescent="0.25">
      <c r="B69" s="2" t="s">
        <v>7</v>
      </c>
      <c r="C69" s="325" t="str">
        <f>OUTRAS_AUSENCIAS_DESCRICAO</f>
        <v>Outras Ausências (Especificar - em %)</v>
      </c>
      <c r="D69" s="300"/>
      <c r="E69" s="53">
        <f>PERC_SUBSTITUTO_OUTRAS_AUSENCIAS</f>
        <v>0</v>
      </c>
      <c r="F69" s="36">
        <f>PERC_SUBSTITUTO_OUTRAS_AUSENCIAS%*(MOD_1_REMUNERACAO_12X36_DIU+MOD_2_ENCARGOS_BENEFICIOS_12X36_DIU+MOD_3_PROVISAO_RESCISAO_12X36_DIU)</f>
        <v>0</v>
      </c>
    </row>
    <row r="70" spans="2:7" s="98" customFormat="1" x14ac:dyDescent="0.4">
      <c r="B70" s="268" t="s">
        <v>46</v>
      </c>
      <c r="C70" s="269"/>
      <c r="D70" s="269"/>
      <c r="E70" s="270"/>
      <c r="F70" s="41">
        <f>SUM(F64:F69)</f>
        <v>356.72</v>
      </c>
    </row>
    <row r="71" spans="2:7" s="98" customFormat="1" ht="15" customHeight="1" x14ac:dyDescent="0.4">
      <c r="B71" s="51" t="s">
        <v>226</v>
      </c>
      <c r="C71" s="12"/>
      <c r="D71" s="22"/>
      <c r="E71" s="20"/>
      <c r="F71" s="20"/>
    </row>
    <row r="72" spans="2:7" s="98" customFormat="1" x14ac:dyDescent="0.25">
      <c r="B72" s="1" t="s">
        <v>19</v>
      </c>
      <c r="C72" s="260" t="s">
        <v>225</v>
      </c>
      <c r="D72" s="260"/>
      <c r="E72" s="260"/>
      <c r="F72" s="4" t="s">
        <v>13</v>
      </c>
    </row>
    <row r="73" spans="2:7" s="98" customFormat="1" x14ac:dyDescent="0.25">
      <c r="B73" s="1" t="s">
        <v>2</v>
      </c>
      <c r="C73" s="298" t="s">
        <v>109</v>
      </c>
      <c r="D73" s="298"/>
      <c r="E73" s="298"/>
      <c r="F73" s="57">
        <f>((MOD_1_REMUNERACAO_12X36_DIU+MOD_2_ENCARGOS_BENEFICIOS_12X36_DIU+MOD_3_PROVISAO_RESCISAO_12X36_DIU)/DIVISOR_DE_HORAS)*((TEMPO_INTERVALO_REFEICAO/HORA_NORMAL))*DIAS_TRABALHADOS_NO_MES_12X36</f>
        <v>227.72</v>
      </c>
      <c r="G73" s="140"/>
    </row>
    <row r="74" spans="2:7" s="98" customFormat="1" x14ac:dyDescent="0.4">
      <c r="B74" s="260" t="s">
        <v>46</v>
      </c>
      <c r="C74" s="260"/>
      <c r="D74" s="260"/>
      <c r="E74" s="260"/>
      <c r="F74" s="41">
        <f>SUM(F73)</f>
        <v>227.72</v>
      </c>
    </row>
    <row r="75" spans="2:7" ht="7.5" customHeight="1" x14ac:dyDescent="0.4">
      <c r="B75" s="16"/>
      <c r="C75" s="17"/>
      <c r="D75" s="18"/>
      <c r="E75" s="14"/>
      <c r="F75" s="14"/>
    </row>
    <row r="76" spans="2:7" x14ac:dyDescent="0.4">
      <c r="B76" s="51" t="s">
        <v>77</v>
      </c>
      <c r="C76" s="12"/>
      <c r="D76" s="12"/>
      <c r="E76" s="20"/>
      <c r="F76" s="20"/>
    </row>
    <row r="77" spans="2:7" ht="15.75" customHeight="1" x14ac:dyDescent="0.4">
      <c r="B77" s="49">
        <v>5</v>
      </c>
      <c r="C77" s="271" t="s">
        <v>0</v>
      </c>
      <c r="D77" s="271"/>
      <c r="E77" s="271"/>
      <c r="F77" s="50" t="s">
        <v>13</v>
      </c>
    </row>
    <row r="78" spans="2:7" x14ac:dyDescent="0.4">
      <c r="B78" s="44" t="s">
        <v>2</v>
      </c>
      <c r="C78" s="272" t="s">
        <v>16</v>
      </c>
      <c r="D78" s="272"/>
      <c r="E78" s="272"/>
      <c r="F78" s="60">
        <f>UNIFORMES</f>
        <v>244.71</v>
      </c>
    </row>
    <row r="79" spans="2:7" x14ac:dyDescent="0.4">
      <c r="B79" s="44" t="s">
        <v>3</v>
      </c>
      <c r="C79" s="273" t="s">
        <v>285</v>
      </c>
      <c r="D79" s="273"/>
      <c r="E79" s="273"/>
      <c r="F79" s="47">
        <f>MATERIAIS</f>
        <v>77.400000000000006</v>
      </c>
    </row>
    <row r="80" spans="2:7" x14ac:dyDescent="0.4">
      <c r="B80" s="44" t="s">
        <v>4</v>
      </c>
      <c r="C80" s="272" t="s">
        <v>286</v>
      </c>
      <c r="D80" s="272"/>
      <c r="E80" s="272"/>
      <c r="F80" s="60">
        <f>EQUIPAMENTOS</f>
        <v>8.09</v>
      </c>
    </row>
    <row r="81" spans="2:8" x14ac:dyDescent="0.4">
      <c r="B81" s="44" t="s">
        <v>5</v>
      </c>
      <c r="C81" s="324" t="str">
        <f>OUTROS_INSUMOS_DESCRICAO</f>
        <v>Outros (Especificar)</v>
      </c>
      <c r="D81" s="273"/>
      <c r="E81" s="273"/>
      <c r="F81" s="47">
        <f>OUTROS_INSUMOS</f>
        <v>0</v>
      </c>
    </row>
    <row r="82" spans="2:8" x14ac:dyDescent="0.4">
      <c r="B82" s="328" t="s">
        <v>46</v>
      </c>
      <c r="C82" s="328"/>
      <c r="D82" s="328"/>
      <c r="E82" s="328"/>
      <c r="F82" s="43">
        <f>SUM(F78:F81)</f>
        <v>330.2</v>
      </c>
    </row>
    <row r="83" spans="2:8" ht="7.5" customHeight="1" x14ac:dyDescent="0.4">
      <c r="B83" s="16"/>
      <c r="C83" s="17"/>
      <c r="D83" s="18"/>
      <c r="E83" s="14"/>
      <c r="F83" s="14"/>
    </row>
    <row r="84" spans="2:8" ht="15" customHeight="1" x14ac:dyDescent="0.4">
      <c r="B84" s="264" t="s">
        <v>76</v>
      </c>
      <c r="C84" s="264"/>
      <c r="D84" s="264"/>
      <c r="E84" s="264"/>
      <c r="F84" s="264"/>
    </row>
    <row r="85" spans="2:8" x14ac:dyDescent="0.4">
      <c r="B85" s="1">
        <v>6</v>
      </c>
      <c r="C85" s="260" t="s">
        <v>20</v>
      </c>
      <c r="D85" s="260"/>
      <c r="E85" s="4" t="s">
        <v>1</v>
      </c>
      <c r="F85" s="4" t="s">
        <v>13</v>
      </c>
    </row>
    <row r="86" spans="2:8" x14ac:dyDescent="0.4">
      <c r="B86" s="1" t="s">
        <v>2</v>
      </c>
      <c r="C86" s="298" t="s">
        <v>78</v>
      </c>
      <c r="D86" s="298"/>
      <c r="E86" s="61">
        <f>PERC_CUSTOS_INDIRETOS</f>
        <v>4.8499999999999996</v>
      </c>
      <c r="F86" s="58">
        <f>PERC_CUSTOS_INDIRETOS%*(MOD_1_REMUNERACAO_12X36_DIU+MOD_2_ENCARGOS_BENEFICIOS_12X36_DIU+MOD_3_PROVISAO_RESCISAO_12X36_DIU+MOD_4_CUSTO_REPOSICAO_12X36_DIU+MOD_5_INSUMOS_12X36_DIU)</f>
        <v>206.35</v>
      </c>
    </row>
    <row r="87" spans="2:8" ht="15.75" customHeight="1" x14ac:dyDescent="0.4">
      <c r="B87" s="2" t="s">
        <v>3</v>
      </c>
      <c r="C87" s="300" t="s">
        <v>32</v>
      </c>
      <c r="D87" s="300"/>
      <c r="E87" s="48">
        <f>PERC_LUCRO</f>
        <v>5.45</v>
      </c>
      <c r="F87" s="36">
        <f>PERC_LUCRO%*(MOD_1_REMUNERACAO_12X36_DIU+MOD_2_ENCARGOS_BENEFICIOS_12X36_DIU+MOD_3_PROVISAO_RESCISAO_12X36_DIU+MOD_4_CUSTO_REPOSICAO_12X36_DIU+MOD_5_INSUMOS_12X36_DIU+AL_6_A_CUSTOS_INDIRETOS_12X36_DIU)</f>
        <v>243.12</v>
      </c>
    </row>
    <row r="88" spans="2:8" x14ac:dyDescent="0.4">
      <c r="B88" s="2" t="s">
        <v>4</v>
      </c>
      <c r="C88" s="298" t="s">
        <v>21</v>
      </c>
      <c r="D88" s="298"/>
      <c r="E88" s="61">
        <f>SUM(E89:E91)</f>
        <v>8.65</v>
      </c>
      <c r="F88" s="58">
        <f>SUM(F89:F91)</f>
        <v>445.42</v>
      </c>
    </row>
    <row r="89" spans="2:8" ht="15.75" customHeight="1" x14ac:dyDescent="0.4">
      <c r="B89" s="30" t="s">
        <v>79</v>
      </c>
      <c r="C89" s="326" t="s">
        <v>23</v>
      </c>
      <c r="D89" s="326"/>
      <c r="E89" s="31">
        <f>PERC_PIS</f>
        <v>0.65</v>
      </c>
      <c r="F89" s="63">
        <f>((MOD_1_REMUNERACAO_12X36_DIU+MOD_2_ENCARGOS_BENEFICIOS_12X36_DIU+MOD_3_PROVISAO_RESCISAO_12X36_DIU+MOD_4_CUSTO_REPOSICAO_12X36_DIU+MOD_5_INSUMOS_12X36_DIU+AL_6_A_CUSTOS_INDIRETOS_12X36_DIU+AL_6_B_LUCRO_12X36_DIU)*PERC_PIS%)/(1-PERC_TRIBUTOS%)</f>
        <v>33.47</v>
      </c>
    </row>
    <row r="90" spans="2:8" x14ac:dyDescent="0.4">
      <c r="B90" s="30" t="s">
        <v>80</v>
      </c>
      <c r="C90" s="327" t="s">
        <v>24</v>
      </c>
      <c r="D90" s="327"/>
      <c r="E90" s="62">
        <f>PERC_COFINS</f>
        <v>3</v>
      </c>
      <c r="F90" s="64">
        <f>((MOD_1_REMUNERACAO_12X36_DIU+MOD_2_ENCARGOS_BENEFICIOS_12X36_DIU+MOD_3_PROVISAO_RESCISAO_12X36_DIU+MOD_4_CUSTO_REPOSICAO_12X36_DIU+MOD_5_INSUMOS_12X36_DIU+AL_6_A_CUSTOS_INDIRETOS_12X36_DIU+AL_6_B_LUCRO_12X36_DIU)*PERC_COFINS%)/(1-PERC_TRIBUTOS%)</f>
        <v>154.47999999999999</v>
      </c>
    </row>
    <row r="91" spans="2:8" s="108" customFormat="1" x14ac:dyDescent="0.4">
      <c r="B91" s="30" t="s">
        <v>81</v>
      </c>
      <c r="C91" s="326" t="s">
        <v>25</v>
      </c>
      <c r="D91" s="326"/>
      <c r="E91" s="31">
        <f>PERC_ISS</f>
        <v>5</v>
      </c>
      <c r="F91" s="63">
        <f>((MOD_1_REMUNERACAO_12X36_DIU+MOD_2_ENCARGOS_BENEFICIOS_12X36_DIU+MOD_3_PROVISAO_RESCISAO_12X36_DIU+MOD_4_CUSTO_REPOSICAO_12X36_DIU+MOD_5_INSUMOS_12X36_DIU+AL_6_A_CUSTOS_INDIRETOS_12X36_DIU+AL_6_B_LUCRO_12X36_DIU)*PERC_ISS%)/(1-PERC_TRIBUTOS%)</f>
        <v>257.47000000000003</v>
      </c>
      <c r="H91" s="13"/>
    </row>
    <row r="92" spans="2:8" s="108" customFormat="1" x14ac:dyDescent="0.4">
      <c r="B92" s="268" t="s">
        <v>46</v>
      </c>
      <c r="C92" s="269"/>
      <c r="D92" s="269"/>
      <c r="E92" s="270"/>
      <c r="F92" s="37">
        <f>AL_6_A_CUSTOS_INDIRETOS_12X36_DIU+AL_6_B_LUCRO_12X36_DIU+AL_6_C_TRIBUTOS_12X36_DIU</f>
        <v>894.89</v>
      </c>
    </row>
    <row r="93" spans="2:8" s="108" customFormat="1" x14ac:dyDescent="0.4">
      <c r="B93" s="264" t="s">
        <v>261</v>
      </c>
      <c r="C93" s="264"/>
      <c r="D93" s="264"/>
      <c r="E93" s="264"/>
      <c r="F93" s="264"/>
    </row>
    <row r="94" spans="2:8" s="108" customFormat="1" x14ac:dyDescent="0.4">
      <c r="B94" s="147" t="s">
        <v>2</v>
      </c>
      <c r="C94" s="275" t="str">
        <f>'INSERÇÃO-DE-DADOS'!C85:E85</f>
        <v>Dia do Vigilante - Clausula 82ª CCT - Jornada 12x36 diurno</v>
      </c>
      <c r="D94" s="276"/>
      <c r="E94" s="277"/>
      <c r="F94" s="57">
        <f>'INSERÇÃO-DE-DADOS'!F85</f>
        <v>8.2799999999999994</v>
      </c>
    </row>
    <row r="95" spans="2:8" s="108" customFormat="1" ht="20.399999999999999" x14ac:dyDescent="0.4">
      <c r="B95" s="52" t="s">
        <v>53</v>
      </c>
      <c r="C95" s="15"/>
      <c r="D95" s="15"/>
      <c r="E95" s="15"/>
      <c r="F95" s="23"/>
    </row>
    <row r="96" spans="2:8" s="109" customFormat="1" ht="16.5" customHeight="1" x14ac:dyDescent="0.4">
      <c r="B96" s="2" t="s">
        <v>98</v>
      </c>
      <c r="C96" s="257" t="s">
        <v>99</v>
      </c>
      <c r="D96" s="258"/>
      <c r="E96" s="259"/>
      <c r="F96" s="4" t="s">
        <v>17</v>
      </c>
      <c r="H96" s="128"/>
    </row>
    <row r="97" spans="2:8" s="108" customFormat="1" x14ac:dyDescent="0.4">
      <c r="B97" s="1">
        <v>1</v>
      </c>
      <c r="C97" s="298" t="s">
        <v>9</v>
      </c>
      <c r="D97" s="298"/>
      <c r="E97" s="298"/>
      <c r="F97" s="58">
        <f>MOD_1_REMUNERACAO_12X36_DIU</f>
        <v>1821.39</v>
      </c>
    </row>
    <row r="98" spans="2:8" s="110" customFormat="1" ht="16.5" customHeight="1" x14ac:dyDescent="0.4">
      <c r="B98" s="2">
        <v>2</v>
      </c>
      <c r="C98" s="300" t="s">
        <v>100</v>
      </c>
      <c r="D98" s="300"/>
      <c r="E98" s="300"/>
      <c r="F98" s="36">
        <f>MOD_2_ENCARGOS_BENEFICIOS_12X36_DIU</f>
        <v>1471.87</v>
      </c>
    </row>
    <row r="99" spans="2:8" s="110" customFormat="1" x14ac:dyDescent="0.4">
      <c r="B99" s="2">
        <v>3</v>
      </c>
      <c r="C99" s="298" t="s">
        <v>48</v>
      </c>
      <c r="D99" s="298"/>
      <c r="E99" s="298"/>
      <c r="F99" s="58">
        <f>MOD_3_PROVISAO_RESCISAO_12X36_DIU</f>
        <v>46.69</v>
      </c>
    </row>
    <row r="100" spans="2:8" s="110" customFormat="1" x14ac:dyDescent="0.4">
      <c r="B100" s="2">
        <v>4</v>
      </c>
      <c r="C100" s="300" t="s">
        <v>51</v>
      </c>
      <c r="D100" s="300"/>
      <c r="E100" s="300"/>
      <c r="F100" s="36">
        <f>MOD_4_CUSTO_REPOSICAO_12X36_DIU</f>
        <v>584.44000000000005</v>
      </c>
    </row>
    <row r="101" spans="2:8" s="110" customFormat="1" x14ac:dyDescent="0.4">
      <c r="B101" s="2">
        <v>5</v>
      </c>
      <c r="C101" s="298" t="s">
        <v>0</v>
      </c>
      <c r="D101" s="298"/>
      <c r="E101" s="298"/>
      <c r="F101" s="58">
        <f>MOD_5_INSUMOS_12X36_DIU</f>
        <v>330.2</v>
      </c>
    </row>
    <row r="102" spans="2:8" s="110" customFormat="1" x14ac:dyDescent="0.4">
      <c r="B102" s="2">
        <v>6</v>
      </c>
      <c r="C102" s="300" t="s">
        <v>20</v>
      </c>
      <c r="D102" s="300"/>
      <c r="E102" s="300"/>
      <c r="F102" s="36">
        <f>MOD_6_CUSTOS_IND_LUCRO_TRIB_12X36_DIU</f>
        <v>894.89</v>
      </c>
    </row>
    <row r="103" spans="2:8" s="110" customFormat="1" x14ac:dyDescent="0.4">
      <c r="B103" s="2">
        <v>7</v>
      </c>
      <c r="C103" s="249" t="str">
        <f>C94</f>
        <v>Dia do Vigilante - Clausula 82ª CCT - Jornada 12x36 diurno</v>
      </c>
      <c r="D103" s="298"/>
      <c r="E103" s="298"/>
      <c r="F103" s="58">
        <f>F94</f>
        <v>8.2799999999999994</v>
      </c>
    </row>
    <row r="104" spans="2:8" ht="16.5" customHeight="1" x14ac:dyDescent="0.4">
      <c r="B104" s="302" t="s">
        <v>101</v>
      </c>
      <c r="C104" s="302"/>
      <c r="D104" s="302"/>
      <c r="E104" s="302"/>
      <c r="F104" s="37">
        <f>SUM(F97:F103)</f>
        <v>5157.76</v>
      </c>
      <c r="H104" s="129"/>
    </row>
    <row r="105" spans="2:8" ht="16.5" customHeight="1" x14ac:dyDescent="0.4">
      <c r="B105" s="302" t="s">
        <v>30</v>
      </c>
      <c r="C105" s="302"/>
      <c r="D105" s="302"/>
      <c r="E105" s="302"/>
      <c r="F105" s="37">
        <f>VALOR_TOTAL_EMPREGADO_12x36_DIU*EMPREG_POR_POSTO_12X36_DIU</f>
        <v>10315.52</v>
      </c>
    </row>
  </sheetData>
  <mergeCells count="92">
    <mergeCell ref="C10:E10"/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25:E25"/>
    <mergeCell ref="C11:E11"/>
    <mergeCell ref="C12:E12"/>
    <mergeCell ref="C15:D15"/>
    <mergeCell ref="E15:F15"/>
    <mergeCell ref="D16:F16"/>
    <mergeCell ref="D17:F17"/>
    <mergeCell ref="C18:E18"/>
    <mergeCell ref="B20:F20"/>
    <mergeCell ref="B21:E21"/>
    <mergeCell ref="C23:E23"/>
    <mergeCell ref="C24:E24"/>
    <mergeCell ref="C39:D39"/>
    <mergeCell ref="C26:E26"/>
    <mergeCell ref="C27:E27"/>
    <mergeCell ref="B28:E28"/>
    <mergeCell ref="C31:D31"/>
    <mergeCell ref="C32:D32"/>
    <mergeCell ref="C33:D33"/>
    <mergeCell ref="B34:E34"/>
    <mergeCell ref="B35:F35"/>
    <mergeCell ref="C36:D36"/>
    <mergeCell ref="C37:D37"/>
    <mergeCell ref="C38:D38"/>
    <mergeCell ref="C52:E52"/>
    <mergeCell ref="C40:D40"/>
    <mergeCell ref="C41:D41"/>
    <mergeCell ref="C42:D42"/>
    <mergeCell ref="C43:D43"/>
    <mergeCell ref="C44:D44"/>
    <mergeCell ref="B45:E45"/>
    <mergeCell ref="C47:E47"/>
    <mergeCell ref="C48:E48"/>
    <mergeCell ref="C49:E49"/>
    <mergeCell ref="C50:E50"/>
    <mergeCell ref="C51:E51"/>
    <mergeCell ref="C68:D68"/>
    <mergeCell ref="B53:E53"/>
    <mergeCell ref="C55:D55"/>
    <mergeCell ref="C56:D56"/>
    <mergeCell ref="C57:D57"/>
    <mergeCell ref="C58:D58"/>
    <mergeCell ref="B59:E59"/>
    <mergeCell ref="C63:D63"/>
    <mergeCell ref="C64:D64"/>
    <mergeCell ref="C65:D65"/>
    <mergeCell ref="C66:D66"/>
    <mergeCell ref="C67:D67"/>
    <mergeCell ref="B84:F84"/>
    <mergeCell ref="C69:D69"/>
    <mergeCell ref="B70:E70"/>
    <mergeCell ref="C72:E72"/>
    <mergeCell ref="C73:E73"/>
    <mergeCell ref="B74:E74"/>
    <mergeCell ref="C77:E77"/>
    <mergeCell ref="C78:E78"/>
    <mergeCell ref="C79:E79"/>
    <mergeCell ref="C80:E80"/>
    <mergeCell ref="C81:E81"/>
    <mergeCell ref="B82:E82"/>
    <mergeCell ref="C97:E97"/>
    <mergeCell ref="C85:D85"/>
    <mergeCell ref="C86:D86"/>
    <mergeCell ref="C87:D87"/>
    <mergeCell ref="C88:D88"/>
    <mergeCell ref="C89:D89"/>
    <mergeCell ref="C90:D90"/>
    <mergeCell ref="C91:D91"/>
    <mergeCell ref="B92:E92"/>
    <mergeCell ref="B93:F93"/>
    <mergeCell ref="C94:E94"/>
    <mergeCell ref="C96:E96"/>
    <mergeCell ref="B104:E104"/>
    <mergeCell ref="B105:E105"/>
    <mergeCell ref="C98:E98"/>
    <mergeCell ref="C99:E99"/>
    <mergeCell ref="C100:E100"/>
    <mergeCell ref="C101:E101"/>
    <mergeCell ref="C102:E102"/>
    <mergeCell ref="C103:E103"/>
  </mergeCells>
  <printOptions horizontalCentered="1"/>
  <pageMargins left="0.15748031496062992" right="0.23622047244094491" top="0.24" bottom="0.15748031496062992" header="0.23622047244094491" footer="0.15748031496062992"/>
  <pageSetup paperSize="9" firstPageNumber="0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5"/>
  <sheetViews>
    <sheetView topLeftCell="A24" zoomScaleNormal="100" zoomScaleSheetLayoutView="100" workbookViewId="0">
      <selection activeCell="F24" sqref="F24"/>
    </sheetView>
  </sheetViews>
  <sheetFormatPr defaultColWidth="9.109375" defaultRowHeight="16.8" x14ac:dyDescent="0.4"/>
  <cols>
    <col min="1" max="1" width="2.6640625" style="13" customWidth="1"/>
    <col min="2" max="2" width="8.88671875" style="13" customWidth="1"/>
    <col min="3" max="3" width="52.5546875" style="19" customWidth="1"/>
    <col min="4" max="4" width="7.88671875" style="19" customWidth="1"/>
    <col min="5" max="5" width="13.5546875" style="19" customWidth="1"/>
    <col min="6" max="6" width="15.44140625" style="19" bestFit="1" customWidth="1"/>
    <col min="7" max="7" width="9.6640625" style="13" bestFit="1" customWidth="1"/>
    <col min="8" max="16384" width="9.109375" style="13"/>
  </cols>
  <sheetData>
    <row r="1" spans="2:6" ht="20.399999999999999" x14ac:dyDescent="0.45">
      <c r="B1" s="313" t="str">
        <f>RAMO</f>
        <v>RAMO: MINISTÉRIO PÚBLIC FEDERAL</v>
      </c>
      <c r="C1" s="314"/>
      <c r="D1" s="314"/>
      <c r="E1" s="314"/>
      <c r="F1" s="315"/>
    </row>
    <row r="2" spans="2:6" ht="20.399999999999999" x14ac:dyDescent="0.45">
      <c r="B2" s="316" t="str">
        <f>UG</f>
        <v>UNIDADE GESTORA (SIGLA): PR-PA</v>
      </c>
      <c r="C2" s="317"/>
      <c r="D2" s="318"/>
      <c r="E2" s="113" t="s">
        <v>57</v>
      </c>
      <c r="F2" s="114" t="str">
        <f>DATA_DO_ORCAMENTO_ESTIMATIVO</f>
        <v>XX/XX/20XX</v>
      </c>
    </row>
    <row r="3" spans="2:6" s="98" customFormat="1" ht="24.6" x14ac:dyDescent="0.55000000000000004">
      <c r="B3" s="281" t="s">
        <v>55</v>
      </c>
      <c r="C3" s="281"/>
      <c r="D3" s="281"/>
      <c r="E3" s="281"/>
      <c r="F3" s="281"/>
    </row>
    <row r="4" spans="2:6" s="98" customFormat="1" ht="15.9" customHeight="1" x14ac:dyDescent="0.4">
      <c r="B4" s="282" t="s">
        <v>97</v>
      </c>
      <c r="C4" s="282"/>
      <c r="D4" s="282"/>
      <c r="E4" s="282"/>
      <c r="F4" s="282"/>
    </row>
    <row r="5" spans="2:6" s="98" customFormat="1" ht="15.9" customHeight="1" x14ac:dyDescent="0.4">
      <c r="B5" s="285" t="s">
        <v>223</v>
      </c>
      <c r="C5" s="285"/>
      <c r="D5" s="319" t="str">
        <f>NUMERO_PROCESSO</f>
        <v>1.23.000.000855/2020-32</v>
      </c>
      <c r="E5" s="319"/>
      <c r="F5" s="319"/>
    </row>
    <row r="6" spans="2:6" s="98" customFormat="1" ht="15.75" customHeight="1" x14ac:dyDescent="0.4">
      <c r="B6" s="289" t="s">
        <v>224</v>
      </c>
      <c r="C6" s="289"/>
      <c r="D6" s="320" t="str">
        <f>MODALIDADE_DE_LICITACAO</f>
        <v>Pregão nº</v>
      </c>
      <c r="E6" s="320"/>
      <c r="F6" s="118" t="str">
        <f>NUMERO_PREGAO</f>
        <v>XX/20XX</v>
      </c>
    </row>
    <row r="7" spans="2:6" s="99" customFormat="1" ht="15.75" customHeight="1" x14ac:dyDescent="0.45">
      <c r="B7" s="321" t="s">
        <v>58</v>
      </c>
      <c r="C7" s="321"/>
      <c r="D7" s="321"/>
      <c r="E7" s="321"/>
      <c r="F7" s="321"/>
    </row>
    <row r="8" spans="2:6" s="98" customFormat="1" ht="18" customHeight="1" x14ac:dyDescent="0.4">
      <c r="B8" s="25" t="s">
        <v>2</v>
      </c>
      <c r="C8" s="285" t="s">
        <v>63</v>
      </c>
      <c r="D8" s="285"/>
      <c r="E8" s="285"/>
      <c r="F8" s="119" t="str">
        <f>DATA_APRESENTACAO_PROPOSTA</f>
        <v>XX/XX/20XX</v>
      </c>
    </row>
    <row r="9" spans="2:6" s="98" customFormat="1" ht="15.9" customHeight="1" x14ac:dyDescent="0.25">
      <c r="B9" s="1" t="s">
        <v>3</v>
      </c>
      <c r="C9" s="67" t="s">
        <v>36</v>
      </c>
      <c r="D9" s="311" t="s">
        <v>275</v>
      </c>
      <c r="E9" s="311"/>
      <c r="F9" s="311"/>
    </row>
    <row r="10" spans="2:6" s="98" customFormat="1" ht="18.75" customHeight="1" x14ac:dyDescent="0.4">
      <c r="B10" s="25" t="s">
        <v>4</v>
      </c>
      <c r="C10" s="285" t="s">
        <v>37</v>
      </c>
      <c r="D10" s="285"/>
      <c r="E10" s="285"/>
      <c r="F10" s="120" t="str">
        <f>ACORDO_COLETIVO</f>
        <v>CCT 2020/2021</v>
      </c>
    </row>
    <row r="11" spans="2:6" s="98" customFormat="1" ht="15.9" customHeight="1" x14ac:dyDescent="0.4">
      <c r="B11" s="1" t="s">
        <v>5</v>
      </c>
      <c r="C11" s="311" t="s">
        <v>64</v>
      </c>
      <c r="D11" s="311"/>
      <c r="E11" s="311"/>
      <c r="F11" s="121">
        <f>NUMERO_MESES_EXEC_CONTRATUAL</f>
        <v>12</v>
      </c>
    </row>
    <row r="12" spans="2:6" s="98" customFormat="1" x14ac:dyDescent="0.4">
      <c r="B12" s="1" t="s">
        <v>6</v>
      </c>
      <c r="C12" s="312" t="s">
        <v>85</v>
      </c>
      <c r="D12" s="312"/>
      <c r="E12" s="312"/>
      <c r="F12" s="102">
        <v>2</v>
      </c>
    </row>
    <row r="13" spans="2:6" s="127" customFormat="1" ht="21" customHeight="1" x14ac:dyDescent="0.25">
      <c r="B13" s="125" t="s">
        <v>205</v>
      </c>
      <c r="C13" s="126"/>
      <c r="D13" s="126"/>
      <c r="E13" s="126"/>
      <c r="F13" s="126"/>
    </row>
    <row r="14" spans="2:6" s="98" customFormat="1" x14ac:dyDescent="0.4">
      <c r="B14" s="25">
        <v>1</v>
      </c>
      <c r="C14" s="243" t="s">
        <v>60</v>
      </c>
      <c r="D14" s="243"/>
      <c r="E14" s="247" t="str">
        <f>TIPO_DE_SERVICO</f>
        <v>Vigilância</v>
      </c>
      <c r="F14" s="247"/>
    </row>
    <row r="15" spans="2:6" s="99" customFormat="1" x14ac:dyDescent="0.4">
      <c r="B15" s="25">
        <v>2</v>
      </c>
      <c r="C15" s="27" t="s">
        <v>59</v>
      </c>
      <c r="D15" s="246" t="str">
        <f>CBO</f>
        <v>5173-30</v>
      </c>
      <c r="E15" s="246"/>
      <c r="F15" s="246"/>
    </row>
    <row r="16" spans="2:6" s="98" customFormat="1" ht="15" customHeight="1" x14ac:dyDescent="0.4">
      <c r="B16" s="25">
        <v>3</v>
      </c>
      <c r="C16" s="56" t="s">
        <v>61</v>
      </c>
      <c r="D16" s="247" t="str">
        <f>CATEGORIA_PROFISSIONAL</f>
        <v>Vigilante</v>
      </c>
      <c r="E16" s="247"/>
      <c r="F16" s="247"/>
    </row>
    <row r="17" spans="2:6" s="98" customFormat="1" ht="15" customHeight="1" x14ac:dyDescent="0.4">
      <c r="B17" s="25">
        <v>4</v>
      </c>
      <c r="C17" s="248" t="s">
        <v>62</v>
      </c>
      <c r="D17" s="248"/>
      <c r="E17" s="248"/>
      <c r="F17" s="135">
        <f>DATA_BASE_CATEGORIA</f>
        <v>43831</v>
      </c>
    </row>
    <row r="18" spans="2:6" s="124" customFormat="1" ht="30" customHeight="1" x14ac:dyDescent="0.4">
      <c r="B18" s="322" t="s">
        <v>40</v>
      </c>
      <c r="C18" s="322"/>
      <c r="D18" s="322"/>
      <c r="E18" s="322"/>
      <c r="F18" s="322"/>
    </row>
    <row r="19" spans="2:6" x14ac:dyDescent="0.4">
      <c r="B19" s="260" t="s">
        <v>52</v>
      </c>
      <c r="C19" s="260"/>
      <c r="D19" s="260"/>
      <c r="E19" s="260"/>
      <c r="F19" s="117">
        <v>2</v>
      </c>
    </row>
    <row r="20" spans="2:6" x14ac:dyDescent="0.4">
      <c r="B20" s="51" t="s">
        <v>8</v>
      </c>
      <c r="E20" s="14"/>
      <c r="F20" s="14"/>
    </row>
    <row r="21" spans="2:6" x14ac:dyDescent="0.4">
      <c r="B21" s="1">
        <v>1</v>
      </c>
      <c r="C21" s="250" t="s">
        <v>9</v>
      </c>
      <c r="D21" s="250"/>
      <c r="E21" s="250"/>
      <c r="F21" s="4" t="s">
        <v>13</v>
      </c>
    </row>
    <row r="22" spans="2:6" x14ac:dyDescent="0.4">
      <c r="B22" s="1" t="s">
        <v>2</v>
      </c>
      <c r="C22" s="249" t="s">
        <v>92</v>
      </c>
      <c r="D22" s="249"/>
      <c r="E22" s="249"/>
      <c r="F22" s="57">
        <f>SALARIO_BASE</f>
        <v>1401.07</v>
      </c>
    </row>
    <row r="23" spans="2:6" x14ac:dyDescent="0.4">
      <c r="B23" s="1" t="s">
        <v>3</v>
      </c>
      <c r="C23" s="300" t="s">
        <v>94</v>
      </c>
      <c r="D23" s="300"/>
      <c r="E23" s="300"/>
      <c r="F23" s="10">
        <f>PERC_ADIC_PERIC%*SALARIO_BASE</f>
        <v>420.32</v>
      </c>
    </row>
    <row r="24" spans="2:6" ht="15.75" customHeight="1" x14ac:dyDescent="0.4">
      <c r="B24" s="1" t="s">
        <v>4</v>
      </c>
      <c r="C24" s="331" t="s">
        <v>83</v>
      </c>
      <c r="D24" s="331"/>
      <c r="E24" s="331"/>
      <c r="F24" s="57">
        <f>7*15.2*0.2*((AL_1_A_SAL_BASE_12X36_NOT+AL_1_B_ADIC_PERIC_12X36_NOT)/220)</f>
        <v>176.18</v>
      </c>
    </row>
    <row r="25" spans="2:6" ht="15.75" customHeight="1" x14ac:dyDescent="0.4">
      <c r="B25" s="1" t="s">
        <v>5</v>
      </c>
      <c r="C25" s="300" t="s">
        <v>87</v>
      </c>
      <c r="D25" s="300"/>
      <c r="E25" s="300"/>
      <c r="F25" s="237">
        <f>((AL_1_A_SAL_BASE_12X36_NOT+AL_1_B_ADIC_PERIC_12X36_NOT)/DIVISOR_DE_HORAS)*((HORA_NORMAL-HORA_NOTURNA)/HORA_NOTURNA)*DIAS_NA_SEMANA*MEDIA_ANUAL_DIAS_TRABALHO_MES*1.2*1.5</f>
        <v>226.51</v>
      </c>
    </row>
    <row r="26" spans="2:6" x14ac:dyDescent="0.4">
      <c r="B26" s="1" t="s">
        <v>6</v>
      </c>
      <c r="C26" s="275" t="str">
        <f>OUTROS_REMUNERACAO_1_DESCRICAO</f>
        <v>DSR - Adicional noturno - 1/6</v>
      </c>
      <c r="D26" s="276"/>
      <c r="E26" s="277"/>
      <c r="F26" s="57">
        <f>1/6*AL_1_C_ADIC_NOT_12X36_NOT</f>
        <v>29.36</v>
      </c>
    </row>
    <row r="27" spans="2:6" x14ac:dyDescent="0.4">
      <c r="B27" s="1" t="s">
        <v>7</v>
      </c>
      <c r="C27" s="305" t="str">
        <f>OUTROS_REMUNERACAO_2_DESCRICAO</f>
        <v>DSR - Hora noturna reduzida - 1/6</v>
      </c>
      <c r="D27" s="306"/>
      <c r="E27" s="307"/>
      <c r="F27" s="10">
        <f>1/6*AL_1_D_ADIC_NOT_RED_12X36_NOT</f>
        <v>37.75</v>
      </c>
    </row>
    <row r="28" spans="2:6" x14ac:dyDescent="0.4">
      <c r="B28" s="329" t="s">
        <v>46</v>
      </c>
      <c r="C28" s="329"/>
      <c r="D28" s="329"/>
      <c r="E28" s="329"/>
      <c r="F28" s="40">
        <f>SUM(F22:F27)</f>
        <v>2291.19</v>
      </c>
    </row>
    <row r="29" spans="2:6" x14ac:dyDescent="0.4">
      <c r="B29" s="51" t="s">
        <v>65</v>
      </c>
      <c r="E29" s="21"/>
      <c r="F29" s="21"/>
    </row>
    <row r="30" spans="2:6" x14ac:dyDescent="0.4">
      <c r="B30" s="51" t="s">
        <v>110</v>
      </c>
      <c r="C30" s="12"/>
      <c r="D30" s="22"/>
      <c r="E30" s="20"/>
      <c r="F30" s="20"/>
    </row>
    <row r="31" spans="2:6" x14ac:dyDescent="0.4">
      <c r="B31" s="1" t="s">
        <v>66</v>
      </c>
      <c r="C31" s="260" t="s">
        <v>93</v>
      </c>
      <c r="D31" s="260"/>
      <c r="E31" s="4" t="s">
        <v>1</v>
      </c>
      <c r="F31" s="4" t="s">
        <v>13</v>
      </c>
    </row>
    <row r="32" spans="2:6" x14ac:dyDescent="0.4">
      <c r="B32" s="1" t="s">
        <v>2</v>
      </c>
      <c r="C32" s="298" t="s">
        <v>47</v>
      </c>
      <c r="D32" s="298"/>
      <c r="E32" s="59">
        <f>PERC_DEC_TERC</f>
        <v>8.33</v>
      </c>
      <c r="F32" s="58">
        <f>PERC_DEC_TERC%*MOD_1_REMUNERACAO_12X36_NOT</f>
        <v>190.86</v>
      </c>
    </row>
    <row r="33" spans="2:9" s="17" customFormat="1" x14ac:dyDescent="0.4">
      <c r="B33" s="2" t="s">
        <v>3</v>
      </c>
      <c r="C33" s="300" t="s">
        <v>95</v>
      </c>
      <c r="D33" s="300"/>
      <c r="E33" s="38">
        <f>PERC_ADIC_FERIAS</f>
        <v>2.78</v>
      </c>
      <c r="F33" s="36">
        <f>PERC_ADIC_FERIAS%*MOD_1_REMUNERACAO_12X36_NOT</f>
        <v>63.7</v>
      </c>
    </row>
    <row r="34" spans="2:9" s="107" customFormat="1" x14ac:dyDescent="0.4">
      <c r="B34" s="268" t="s">
        <v>46</v>
      </c>
      <c r="C34" s="269"/>
      <c r="D34" s="269"/>
      <c r="E34" s="270"/>
      <c r="F34" s="41">
        <f>SUM(F32:F33)</f>
        <v>254.56</v>
      </c>
    </row>
    <row r="35" spans="2:9" s="107" customFormat="1" ht="31.5" customHeight="1" x14ac:dyDescent="0.4">
      <c r="B35" s="330" t="s">
        <v>68</v>
      </c>
      <c r="C35" s="330"/>
      <c r="D35" s="330"/>
      <c r="E35" s="330"/>
      <c r="F35" s="330"/>
    </row>
    <row r="36" spans="2:9" s="107" customFormat="1" ht="34.5" customHeight="1" x14ac:dyDescent="0.4">
      <c r="B36" s="1" t="s">
        <v>69</v>
      </c>
      <c r="C36" s="304" t="s">
        <v>96</v>
      </c>
      <c r="D36" s="304"/>
      <c r="E36" s="4" t="s">
        <v>1</v>
      </c>
      <c r="F36" s="4" t="s">
        <v>13</v>
      </c>
    </row>
    <row r="37" spans="2:9" x14ac:dyDescent="0.4">
      <c r="B37" s="1" t="s">
        <v>2</v>
      </c>
      <c r="C37" s="298" t="s">
        <v>41</v>
      </c>
      <c r="D37" s="298"/>
      <c r="E37" s="59">
        <f>PERC_INSS</f>
        <v>20</v>
      </c>
      <c r="F37" s="58">
        <f>PERC_INSS%*(MOD_1_REMUNERACAO_12X36_NOT+SUBMOD_2_1_DEC_TERC_ADIC_FERIAS_12X36_NOT)</f>
        <v>509.15</v>
      </c>
    </row>
    <row r="38" spans="2:9" s="98" customFormat="1" x14ac:dyDescent="0.25">
      <c r="B38" s="2" t="s">
        <v>3</v>
      </c>
      <c r="C38" s="300" t="s">
        <v>43</v>
      </c>
      <c r="D38" s="300"/>
      <c r="E38" s="46">
        <f>PERC_SAL_EDUCACAO</f>
        <v>2.5</v>
      </c>
      <c r="F38" s="36">
        <f>PERC_SAL_EDUCACAO%*(MOD_1_REMUNERACAO_12X36_NOT+SUBMOD_2_1_DEC_TERC_ADIC_FERIAS_12X36_NOT)</f>
        <v>63.64</v>
      </c>
    </row>
    <row r="39" spans="2:9" s="98" customFormat="1" x14ac:dyDescent="0.25">
      <c r="B39" s="2" t="s">
        <v>4</v>
      </c>
      <c r="C39" s="275" t="s">
        <v>236</v>
      </c>
      <c r="D39" s="276"/>
      <c r="E39" s="59">
        <f>PERC_RAT</f>
        <v>6</v>
      </c>
      <c r="F39" s="58">
        <f>PERC_RAT%*(MOD_1_REMUNERACAO_12X36_NOT+SUBMOD_2_1_DEC_TERC_ADIC_FERIAS_12X36_NOT)</f>
        <v>152.75</v>
      </c>
    </row>
    <row r="40" spans="2:9" s="98" customFormat="1" x14ac:dyDescent="0.25">
      <c r="B40" s="2" t="s">
        <v>5</v>
      </c>
      <c r="C40" s="300" t="s">
        <v>88</v>
      </c>
      <c r="D40" s="300"/>
      <c r="E40" s="38">
        <f>PERC_SESC</f>
        <v>1.5</v>
      </c>
      <c r="F40" s="36">
        <f>PERC_SESC%*(MOD_1_REMUNERACAO_12X36_NOT+SUBMOD_2_1_DEC_TERC_ADIC_FERIAS_12X36_NOT)</f>
        <v>38.19</v>
      </c>
      <c r="I40" s="143"/>
    </row>
    <row r="41" spans="2:9" s="98" customFormat="1" x14ac:dyDescent="0.25">
      <c r="B41" s="2" t="s">
        <v>6</v>
      </c>
      <c r="C41" s="298" t="s">
        <v>89</v>
      </c>
      <c r="D41" s="298"/>
      <c r="E41" s="59">
        <f>PERC_SENAC</f>
        <v>1</v>
      </c>
      <c r="F41" s="58">
        <f>PERC_SENAC%*(MOD_1_REMUNERACAO_12X36_NOT+SUBMOD_2_1_DEC_TERC_ADIC_FERIAS_12X36_NOT)</f>
        <v>25.46</v>
      </c>
    </row>
    <row r="42" spans="2:9" s="99" customFormat="1" x14ac:dyDescent="0.25">
      <c r="B42" s="2" t="s">
        <v>7</v>
      </c>
      <c r="C42" s="300" t="s">
        <v>45</v>
      </c>
      <c r="D42" s="300"/>
      <c r="E42" s="46">
        <f>PERC_SEBRAE</f>
        <v>0.6</v>
      </c>
      <c r="F42" s="36">
        <f>PERC_SEBRAE%*(MOD_1_REMUNERACAO_12X36_NOT+SUBMOD_2_1_DEC_TERC_ADIC_FERIAS_12X36_NOT)</f>
        <v>15.27</v>
      </c>
    </row>
    <row r="43" spans="2:9" s="99" customFormat="1" x14ac:dyDescent="0.25">
      <c r="B43" s="2" t="s">
        <v>10</v>
      </c>
      <c r="C43" s="298" t="s">
        <v>42</v>
      </c>
      <c r="D43" s="298"/>
      <c r="E43" s="59">
        <f>PERC_INCRA</f>
        <v>0.2</v>
      </c>
      <c r="F43" s="58">
        <f>PERC_INCRA%*(MOD_1_REMUNERACAO_12X36_NOT+SUBMOD_2_1_DEC_TERC_ADIC_FERIAS_12X36_NOT)</f>
        <v>5.09</v>
      </c>
    </row>
    <row r="44" spans="2:9" x14ac:dyDescent="0.4">
      <c r="B44" s="2" t="s">
        <v>11</v>
      </c>
      <c r="C44" s="300" t="s">
        <v>44</v>
      </c>
      <c r="D44" s="300"/>
      <c r="E44" s="46">
        <f>PERC_FGTS</f>
        <v>8</v>
      </c>
      <c r="F44" s="36">
        <f>PERC_FGTS%*(MOD_1_REMUNERACAO_12X36_NOT+SUBMOD_2_1_DEC_TERC_ADIC_FERIAS_12X36_NOT)</f>
        <v>203.66</v>
      </c>
    </row>
    <row r="45" spans="2:9" x14ac:dyDescent="0.4">
      <c r="B45" s="268" t="s">
        <v>46</v>
      </c>
      <c r="C45" s="269"/>
      <c r="D45" s="269"/>
      <c r="E45" s="270"/>
      <c r="F45" s="42">
        <f>SUM(F37:F44)</f>
        <v>1013.21</v>
      </c>
    </row>
    <row r="46" spans="2:9" ht="15.75" customHeight="1" x14ac:dyDescent="0.4">
      <c r="B46" s="51" t="s">
        <v>71</v>
      </c>
      <c r="C46" s="99"/>
      <c r="D46" s="99"/>
      <c r="E46" s="99"/>
      <c r="F46" s="99"/>
    </row>
    <row r="47" spans="2:9" ht="15.75" customHeight="1" x14ac:dyDescent="0.4">
      <c r="B47" s="1" t="s">
        <v>90</v>
      </c>
      <c r="C47" s="250" t="s">
        <v>14</v>
      </c>
      <c r="D47" s="250"/>
      <c r="E47" s="250"/>
      <c r="F47" s="4" t="s">
        <v>13</v>
      </c>
    </row>
    <row r="48" spans="2:9" x14ac:dyDescent="0.4">
      <c r="B48" s="25" t="s">
        <v>2</v>
      </c>
      <c r="C48" s="298" t="s">
        <v>15</v>
      </c>
      <c r="D48" s="298"/>
      <c r="E48" s="298"/>
      <c r="F48" s="58">
        <f>IF((((4*2)*DIAS_TRABALHADOS_NO_MES_12X36)-(PERC_DESC_TRANSP_REMUNERACAO%*(AL_1_A_SAL_BASE_12X36_NOT/2)))&gt;0,(((4*2)*DIAS_TRABALHADOS_NO_MES_12X36)-(PERC_DESC_TRANSP_REMUNERACAO%*(AL_1_A_SAL_BASE_12X36_NOT/2))),0)</f>
        <v>77.97</v>
      </c>
    </row>
    <row r="49" spans="2:7" s="107" customFormat="1" x14ac:dyDescent="0.4">
      <c r="B49" s="25" t="s">
        <v>3</v>
      </c>
      <c r="C49" s="300" t="s">
        <v>70</v>
      </c>
      <c r="D49" s="300"/>
      <c r="E49" s="300"/>
      <c r="F49" s="36">
        <f>ALIMENTACAO_POR_DIA*DIAS_TRABALHADOS_NO_MES_12X36*0.99</f>
        <v>386.1</v>
      </c>
      <c r="G49" s="13"/>
    </row>
    <row r="50" spans="2:7" s="107" customFormat="1" x14ac:dyDescent="0.4">
      <c r="B50" s="25" t="s">
        <v>4</v>
      </c>
      <c r="C50" s="275" t="str">
        <f>OUTROS_BENEFICIOS_1_DESCRICAO</f>
        <v>Auxílio saúde</v>
      </c>
      <c r="D50" s="276"/>
      <c r="E50" s="277"/>
      <c r="F50" s="58"/>
      <c r="G50" s="13"/>
    </row>
    <row r="51" spans="2:7" s="107" customFormat="1" x14ac:dyDescent="0.4">
      <c r="B51" s="25" t="s">
        <v>5</v>
      </c>
      <c r="C51" s="305" t="str">
        <f>OUTROS_BENEFICIOS_2_DESCRICAO</f>
        <v>Auxílio morte/funeral</v>
      </c>
      <c r="D51" s="306"/>
      <c r="E51" s="307"/>
      <c r="F51" s="36"/>
      <c r="G51" s="13"/>
    </row>
    <row r="52" spans="2:7" s="107" customFormat="1" x14ac:dyDescent="0.4">
      <c r="B52" s="25" t="s">
        <v>6</v>
      </c>
      <c r="C52" s="275" t="str">
        <f>OUTROS_BENEFICIOS_3_DESCRICAO</f>
        <v>Seguro de vida</v>
      </c>
      <c r="D52" s="276"/>
      <c r="E52" s="277"/>
      <c r="F52" s="58"/>
    </row>
    <row r="53" spans="2:7" s="107" customFormat="1" ht="15" customHeight="1" x14ac:dyDescent="0.4">
      <c r="B53" s="329" t="s">
        <v>46</v>
      </c>
      <c r="C53" s="329"/>
      <c r="D53" s="329"/>
      <c r="E53" s="329"/>
      <c r="F53" s="40">
        <f>SUM(F48:F52)</f>
        <v>464.07</v>
      </c>
    </row>
    <row r="54" spans="2:7" s="107" customFormat="1" x14ac:dyDescent="0.4">
      <c r="B54" s="51" t="s">
        <v>72</v>
      </c>
      <c r="C54" s="12"/>
      <c r="D54" s="22"/>
      <c r="E54" s="20"/>
      <c r="F54" s="20"/>
    </row>
    <row r="55" spans="2:7" s="107" customFormat="1" ht="15" customHeight="1" x14ac:dyDescent="0.4">
      <c r="B55" s="1">
        <v>3</v>
      </c>
      <c r="C55" s="260" t="s">
        <v>48</v>
      </c>
      <c r="D55" s="260"/>
      <c r="E55" s="4" t="s">
        <v>1</v>
      </c>
      <c r="F55" s="4" t="s">
        <v>13</v>
      </c>
    </row>
    <row r="56" spans="2:7" s="107" customFormat="1" x14ac:dyDescent="0.4">
      <c r="B56" s="1" t="s">
        <v>2</v>
      </c>
      <c r="C56" s="301" t="s">
        <v>49</v>
      </c>
      <c r="D56" s="301"/>
      <c r="E56" s="59">
        <f>PERC_AVISO_PREVIO_IND</f>
        <v>0.28999999999999998</v>
      </c>
      <c r="F56" s="58">
        <f>PERC_AVISO_PREVIO_IND%*(MOD_1_REMUNERACAO_12X36_NOT+SUBMOD_2_1_DEC_TERC_ADIC_FERIAS_12X36_NOT+AL_2_2_FGTS_12X36_NOT+SUBMOD_2_3_BENEFICIOS_12X36_NOT)</f>
        <v>9.32</v>
      </c>
    </row>
    <row r="57" spans="2:7" s="107" customFormat="1" x14ac:dyDescent="0.4">
      <c r="B57" s="2" t="s">
        <v>3</v>
      </c>
      <c r="C57" s="303" t="s">
        <v>50</v>
      </c>
      <c r="D57" s="303"/>
      <c r="E57" s="46">
        <f>PERC_AVISO_PREVIO_TRAB</f>
        <v>1.1599999999999999</v>
      </c>
      <c r="F57" s="36">
        <f>PERC_AVISO_PREVIO_TRAB%*(MOD_1_REMUNERACAO_12X36_NOT+SUBMOD_2_1_DEC_TERC_ADIC_FERIAS_12X36_NOT+SUBMOD_2_2_GPS_FGTS_12X36_NOT+SUBMOD_2_3_BENEFICIOS_12X36_NOT)</f>
        <v>46.67</v>
      </c>
    </row>
    <row r="58" spans="2:7" s="98" customFormat="1" x14ac:dyDescent="0.25">
      <c r="B58" s="2" t="s">
        <v>4</v>
      </c>
      <c r="C58" s="301" t="s">
        <v>232</v>
      </c>
      <c r="D58" s="301"/>
      <c r="E58" s="59">
        <f>PERC_MULTA_FGTS_AV_PREV_TRAB</f>
        <v>0.04</v>
      </c>
      <c r="F58" s="58">
        <f>PERC_MULTA_FGTS_AV_PREV_TRAB%*(MOD_1_REMUNERACAO_12X36_NOT+SUBMOD_2_1_DEC_TERC_ADIC_FERIAS_12X36_NOT)</f>
        <v>1.02</v>
      </c>
    </row>
    <row r="59" spans="2:7" s="98" customFormat="1" x14ac:dyDescent="0.4">
      <c r="B59" s="268" t="s">
        <v>46</v>
      </c>
      <c r="C59" s="269"/>
      <c r="D59" s="269"/>
      <c r="E59" s="270"/>
      <c r="F59" s="41">
        <f>SUM(F56:F58)</f>
        <v>57.01</v>
      </c>
    </row>
    <row r="60" spans="2:7" ht="7.5" customHeight="1" x14ac:dyDescent="0.4">
      <c r="B60" s="16"/>
      <c r="C60" s="17"/>
      <c r="D60" s="18"/>
      <c r="E60" s="14"/>
      <c r="F60" s="14"/>
    </row>
    <row r="61" spans="2:7" s="98" customFormat="1" ht="15.9" customHeight="1" x14ac:dyDescent="0.4">
      <c r="B61" s="51" t="s">
        <v>73</v>
      </c>
      <c r="C61" s="12"/>
      <c r="D61" s="22"/>
      <c r="E61" s="13"/>
      <c r="F61" s="13"/>
    </row>
    <row r="62" spans="2:7" s="98" customFormat="1" ht="15.9" customHeight="1" x14ac:dyDescent="0.4">
      <c r="B62" s="51" t="s">
        <v>102</v>
      </c>
      <c r="C62" s="12"/>
      <c r="D62" s="22"/>
      <c r="E62" s="20"/>
      <c r="F62" s="20"/>
    </row>
    <row r="63" spans="2:7" s="98" customFormat="1" x14ac:dyDescent="0.25">
      <c r="B63" s="1" t="s">
        <v>18</v>
      </c>
      <c r="C63" s="302" t="s">
        <v>103</v>
      </c>
      <c r="D63" s="302"/>
      <c r="E63" s="4" t="s">
        <v>1</v>
      </c>
      <c r="F63" s="4" t="s">
        <v>13</v>
      </c>
    </row>
    <row r="64" spans="2:7" s="98" customFormat="1" ht="15.9" customHeight="1" x14ac:dyDescent="0.25">
      <c r="B64" s="2" t="s">
        <v>2</v>
      </c>
      <c r="C64" s="298" t="s">
        <v>104</v>
      </c>
      <c r="D64" s="298"/>
      <c r="E64" s="59">
        <f>PERC_SUBSTITUTO_FERIAS</f>
        <v>8.33</v>
      </c>
      <c r="F64" s="58">
        <f>PERC_SUBSTITUTO_FERIAS%*(MOD_1_REMUNERACAO_12X36_NOT+MOD_2_ENCARGOS_BENEFICIOS_12X36_NOT+MOD_3_PROVISAO_RESCISAO_12X36_NOT)</f>
        <v>339.87</v>
      </c>
    </row>
    <row r="65" spans="2:7" s="98" customFormat="1" ht="15.9" customHeight="1" x14ac:dyDescent="0.25">
      <c r="B65" s="2" t="s">
        <v>3</v>
      </c>
      <c r="C65" s="300" t="s">
        <v>105</v>
      </c>
      <c r="D65" s="300"/>
      <c r="E65" s="46">
        <f>PERC_SUBSTITUTO_AUSENCIAS_LEGAIS</f>
        <v>2.2200000000000002</v>
      </c>
      <c r="F65" s="36">
        <f>PERC_SUBSTITUTO_AUSENCIAS_LEGAIS%*(MOD_1_REMUNERACAO_12X36_NOT+MOD_2_ENCARGOS_BENEFICIOS_12X36_NOT+MOD_3_PROVISAO_RESCISAO_12X36_NOT)</f>
        <v>90.58</v>
      </c>
    </row>
    <row r="66" spans="2:7" s="98" customFormat="1" ht="15.9" customHeight="1" x14ac:dyDescent="0.25">
      <c r="B66" s="2" t="s">
        <v>4</v>
      </c>
      <c r="C66" s="298" t="s">
        <v>106</v>
      </c>
      <c r="D66" s="298"/>
      <c r="E66" s="59">
        <f>PERC_SUBSTITUTO_LICENCA_PATERNIDADE</f>
        <v>7.0000000000000007E-2</v>
      </c>
      <c r="F66" s="58">
        <f>PERC_SUBSTITUTO_LICENCA_PATERNIDADE%*(MOD_1_REMUNERACAO_12X36_NOT+MOD_2_ENCARGOS_BENEFICIOS_12X36_NOT+MOD_3_PROVISAO_RESCISAO_12X36_NOT)</f>
        <v>2.86</v>
      </c>
    </row>
    <row r="67" spans="2:7" s="98" customFormat="1" x14ac:dyDescent="0.25">
      <c r="B67" s="2" t="s">
        <v>5</v>
      </c>
      <c r="C67" s="300" t="s">
        <v>107</v>
      </c>
      <c r="D67" s="300"/>
      <c r="E67" s="46">
        <f>PERC_SUBSTITUTO_ACID_TRAB</f>
        <v>0.02</v>
      </c>
      <c r="F67" s="36">
        <f>PERC_SUBSTITUTO_ACID_TRAB%*(MOD_1_REMUNERACAO_12X36_NOT+MOD_2_ENCARGOS_BENEFICIOS_12X36_NOT+MOD_3_PROVISAO_RESCISAO_12X36_NOT)</f>
        <v>0.82</v>
      </c>
    </row>
    <row r="68" spans="2:7" s="98" customFormat="1" x14ac:dyDescent="0.25">
      <c r="B68" s="2" t="s">
        <v>6</v>
      </c>
      <c r="C68" s="298" t="s">
        <v>108</v>
      </c>
      <c r="D68" s="298"/>
      <c r="E68" s="59">
        <f>PERC_SUBSTITUTO_AFAST_MATERN</f>
        <v>0.04</v>
      </c>
      <c r="F68" s="58">
        <f>PERC_SUBSTITUTO_AFAST_MATERN%*(MOD_1_REMUNERACAO_12X36_NOT+MOD_2_ENCARGOS_BENEFICIOS_12X36_NOT+MOD_3_PROVISAO_RESCISAO_12X36_NOT)</f>
        <v>1.63</v>
      </c>
    </row>
    <row r="69" spans="2:7" s="98" customFormat="1" x14ac:dyDescent="0.25">
      <c r="B69" s="2" t="s">
        <v>7</v>
      </c>
      <c r="C69" s="325" t="str">
        <f>OUTRAS_AUSENCIAS_DESCRICAO</f>
        <v>Outras Ausências (Especificar - em %)</v>
      </c>
      <c r="D69" s="300"/>
      <c r="E69" s="53">
        <f>PERC_SUBSTITUTO_OUTRAS_AUSENCIAS</f>
        <v>0</v>
      </c>
      <c r="F69" s="36">
        <f>PERC_SUBSTITUTO_OUTRAS_AUSENCIAS%*(MOD_1_REMUNERACAO_12X36_NOT+MOD_2_ENCARGOS_BENEFICIOS_12X36_NOT+MOD_3_PROVISAO_RESCISAO_12X36_NOT)</f>
        <v>0</v>
      </c>
    </row>
    <row r="70" spans="2:7" s="98" customFormat="1" x14ac:dyDescent="0.4">
      <c r="B70" s="268" t="s">
        <v>46</v>
      </c>
      <c r="C70" s="269"/>
      <c r="D70" s="269"/>
      <c r="E70" s="270"/>
      <c r="F70" s="41">
        <f>SUM(F64:F69)</f>
        <v>435.76</v>
      </c>
    </row>
    <row r="71" spans="2:7" s="98" customFormat="1" ht="15" customHeight="1" x14ac:dyDescent="0.4">
      <c r="B71" s="51" t="s">
        <v>226</v>
      </c>
      <c r="C71" s="12"/>
      <c r="D71" s="22"/>
      <c r="E71" s="20"/>
      <c r="F71" s="20"/>
    </row>
    <row r="72" spans="2:7" s="98" customFormat="1" x14ac:dyDescent="0.25">
      <c r="B72" s="1" t="s">
        <v>19</v>
      </c>
      <c r="C72" s="260" t="s">
        <v>225</v>
      </c>
      <c r="D72" s="260"/>
      <c r="E72" s="260"/>
      <c r="F72" s="4" t="s">
        <v>13</v>
      </c>
    </row>
    <row r="73" spans="2:7" s="98" customFormat="1" ht="16.5" customHeight="1" x14ac:dyDescent="0.25">
      <c r="B73" s="1" t="s">
        <v>2</v>
      </c>
      <c r="C73" s="298" t="s">
        <v>109</v>
      </c>
      <c r="D73" s="298"/>
      <c r="E73" s="298"/>
      <c r="F73" s="57">
        <f>((MOD_1_REMUNERACAO_12X36_NOT+MOD_2_ENCARGOS_BENEFICIOS_12X36_NOT+MOD_3_PROVISAO_RESCISAO_12X36_NOT)/DIVISOR_DE_HORAS)*((TEMPO_INTERVALO_REFEICAO/HORA_NORMAL))*DIAS_TRABALHADOS_NO_MES_12X36</f>
        <v>278.18</v>
      </c>
      <c r="G73" s="141"/>
    </row>
    <row r="74" spans="2:7" s="98" customFormat="1" x14ac:dyDescent="0.4">
      <c r="B74" s="260" t="s">
        <v>46</v>
      </c>
      <c r="C74" s="260"/>
      <c r="D74" s="260"/>
      <c r="E74" s="260"/>
      <c r="F74" s="41">
        <f>SUM(F73:F73)</f>
        <v>278.18</v>
      </c>
    </row>
    <row r="75" spans="2:7" ht="7.5" customHeight="1" x14ac:dyDescent="0.4">
      <c r="B75" s="16"/>
      <c r="C75" s="17"/>
      <c r="D75" s="18"/>
      <c r="E75" s="14"/>
      <c r="F75" s="14"/>
    </row>
    <row r="76" spans="2:7" x14ac:dyDescent="0.4">
      <c r="B76" s="51" t="s">
        <v>77</v>
      </c>
      <c r="C76" s="12"/>
      <c r="D76" s="12"/>
      <c r="E76" s="20"/>
      <c r="F76" s="20"/>
    </row>
    <row r="77" spans="2:7" ht="15.75" customHeight="1" x14ac:dyDescent="0.4">
      <c r="B77" s="49">
        <v>5</v>
      </c>
      <c r="C77" s="271" t="s">
        <v>0</v>
      </c>
      <c r="D77" s="271"/>
      <c r="E77" s="271"/>
      <c r="F77" s="50" t="s">
        <v>13</v>
      </c>
    </row>
    <row r="78" spans="2:7" x14ac:dyDescent="0.4">
      <c r="B78" s="44" t="s">
        <v>2</v>
      </c>
      <c r="C78" s="272" t="s">
        <v>16</v>
      </c>
      <c r="D78" s="272"/>
      <c r="E78" s="272"/>
      <c r="F78" s="60">
        <f>UNIFORMES</f>
        <v>244.71</v>
      </c>
    </row>
    <row r="79" spans="2:7" x14ac:dyDescent="0.4">
      <c r="B79" s="44" t="s">
        <v>3</v>
      </c>
      <c r="C79" s="273" t="s">
        <v>285</v>
      </c>
      <c r="D79" s="273"/>
      <c r="E79" s="273"/>
      <c r="F79" s="47">
        <f>MATERIAIS</f>
        <v>77.400000000000006</v>
      </c>
    </row>
    <row r="80" spans="2:7" x14ac:dyDescent="0.4">
      <c r="B80" s="44" t="s">
        <v>4</v>
      </c>
      <c r="C80" s="272" t="s">
        <v>286</v>
      </c>
      <c r="D80" s="272"/>
      <c r="E80" s="272"/>
      <c r="F80" s="60">
        <f>EQUIPAMENTOS</f>
        <v>8.09</v>
      </c>
    </row>
    <row r="81" spans="2:6" x14ac:dyDescent="0.4">
      <c r="B81" s="44" t="s">
        <v>5</v>
      </c>
      <c r="C81" s="324" t="str">
        <f>OUTROS_INSUMOS_DESCRICAO</f>
        <v>Outros (Especificar)</v>
      </c>
      <c r="D81" s="273"/>
      <c r="E81" s="273"/>
      <c r="F81" s="47">
        <f>OUTROS_INSUMOS</f>
        <v>0</v>
      </c>
    </row>
    <row r="82" spans="2:6" x14ac:dyDescent="0.4">
      <c r="B82" s="328" t="s">
        <v>46</v>
      </c>
      <c r="C82" s="328"/>
      <c r="D82" s="328"/>
      <c r="E82" s="328"/>
      <c r="F82" s="43">
        <f>SUM(F78:F81)</f>
        <v>330.2</v>
      </c>
    </row>
    <row r="83" spans="2:6" ht="7.5" customHeight="1" x14ac:dyDescent="0.4">
      <c r="B83" s="16"/>
      <c r="C83" s="17"/>
      <c r="D83" s="18"/>
      <c r="E83" s="14"/>
      <c r="F83" s="14"/>
    </row>
    <row r="84" spans="2:6" ht="15" customHeight="1" x14ac:dyDescent="0.4">
      <c r="B84" s="264" t="s">
        <v>76</v>
      </c>
      <c r="C84" s="264"/>
      <c r="D84" s="264"/>
      <c r="E84" s="264"/>
      <c r="F84" s="264"/>
    </row>
    <row r="85" spans="2:6" x14ac:dyDescent="0.4">
      <c r="B85" s="1">
        <v>6</v>
      </c>
      <c r="C85" s="260" t="s">
        <v>20</v>
      </c>
      <c r="D85" s="260"/>
      <c r="E85" s="4" t="s">
        <v>1</v>
      </c>
      <c r="F85" s="4" t="s">
        <v>13</v>
      </c>
    </row>
    <row r="86" spans="2:6" x14ac:dyDescent="0.4">
      <c r="B86" s="1" t="s">
        <v>2</v>
      </c>
      <c r="C86" s="298" t="s">
        <v>78</v>
      </c>
      <c r="D86" s="298"/>
      <c r="E86" s="61">
        <f>PERC_CUSTOS_INDIRETOS</f>
        <v>4.8499999999999996</v>
      </c>
      <c r="F86" s="58">
        <f>PERC_CUSTOS_INDIRETOS%*(MOD_1_REMUNERACAO_12X36_NOT+MOD_2_ENCARGOS_BENEFICIOS_12X36_NOT+MOD_3_PROVISAO_RESCISAO_12X36_NOT+MOD_4_CUSTO_REPOSICAO_12X36_NOT+MOD_5_INSUMOS_12X36_NOT)</f>
        <v>248.52</v>
      </c>
    </row>
    <row r="87" spans="2:6" ht="15.75" customHeight="1" x14ac:dyDescent="0.4">
      <c r="B87" s="2" t="s">
        <v>3</v>
      </c>
      <c r="C87" s="300" t="s">
        <v>32</v>
      </c>
      <c r="D87" s="300"/>
      <c r="E87" s="48">
        <f>PERC_LUCRO</f>
        <v>5.45</v>
      </c>
      <c r="F87" s="36">
        <f>PERC_LUCRO%*(MOD_1_REMUNERACAO_12X36_NOT+MOD_2_ENCARGOS_BENEFICIOS_12X36_NOT+MOD_3_PROVISAO_RESCISAO_12X36_NOT+MOD_4_CUSTO_REPOSICAO_12X36_NOT+MOD_5_INSUMOS_12X36_NOT+AL_6_A_CUSTOS_INDIRETOS_12X36_NOT)</f>
        <v>292.81</v>
      </c>
    </row>
    <row r="88" spans="2:6" x14ac:dyDescent="0.4">
      <c r="B88" s="2" t="s">
        <v>4</v>
      </c>
      <c r="C88" s="298" t="s">
        <v>21</v>
      </c>
      <c r="D88" s="298"/>
      <c r="E88" s="61">
        <f>SUM(E89:E91)</f>
        <v>8.65</v>
      </c>
      <c r="F88" s="58">
        <f>SUM(F89:F91)</f>
        <v>536.47</v>
      </c>
    </row>
    <row r="89" spans="2:6" ht="15.75" customHeight="1" x14ac:dyDescent="0.4">
      <c r="B89" s="30" t="s">
        <v>79</v>
      </c>
      <c r="C89" s="326" t="s">
        <v>23</v>
      </c>
      <c r="D89" s="326"/>
      <c r="E89" s="31">
        <f>PERC_PIS</f>
        <v>0.65</v>
      </c>
      <c r="F89" s="63">
        <f>((MOD_1_REMUNERACAO_12X36_NOT+MOD_2_ENCARGOS_BENEFICIOS_12X36_NOT+MOD_3_PROVISAO_RESCISAO_12X36_NOT+MOD_4_CUSTO_REPOSICAO_12X36_NOT+MOD_5_INSUMOS_12X36_NOT+AL_6_A_CUSTOS_INDIRETOS_12X36_NOT+AL_6_B_LUCRO_12X36_NOT)*PERC_PIS%)/(1-PERC_TRIBUTOS%)</f>
        <v>40.31</v>
      </c>
    </row>
    <row r="90" spans="2:6" x14ac:dyDescent="0.4">
      <c r="B90" s="30" t="s">
        <v>80</v>
      </c>
      <c r="C90" s="327" t="s">
        <v>24</v>
      </c>
      <c r="D90" s="327"/>
      <c r="E90" s="62">
        <f>PERC_COFINS</f>
        <v>3</v>
      </c>
      <c r="F90" s="64">
        <f>((MOD_1_REMUNERACAO_12X36_NOT+MOD_2_ENCARGOS_BENEFICIOS_12X36_NOT+MOD_3_PROVISAO_RESCISAO_12X36_NOT+MOD_4_CUSTO_REPOSICAO_12X36_NOT+MOD_5_INSUMOS_12X36_NOT+AL_6_A_CUSTOS_INDIRETOS_12X36_NOT+AL_6_B_LUCRO_12X36_NOT)*PERC_COFINS%)/(1-PERC_TRIBUTOS%)</f>
        <v>186.06</v>
      </c>
    </row>
    <row r="91" spans="2:6" s="108" customFormat="1" x14ac:dyDescent="0.4">
      <c r="B91" s="30" t="s">
        <v>81</v>
      </c>
      <c r="C91" s="326" t="s">
        <v>25</v>
      </c>
      <c r="D91" s="326"/>
      <c r="E91" s="31">
        <f>PERC_ISS</f>
        <v>5</v>
      </c>
      <c r="F91" s="63">
        <f>((MOD_1_REMUNERACAO_12X36_NOT+MOD_2_ENCARGOS_BENEFICIOS_12X36_NOT+MOD_3_PROVISAO_RESCISAO_12X36_NOT+MOD_4_CUSTO_REPOSICAO_12X36_NOT+MOD_5_INSUMOS_12X36_NOT+AL_6_A_CUSTOS_INDIRETOS_12X36_NOT+AL_6_B_LUCRO_12X36_NOT)*PERC_ISS%)/(1-PERC_TRIBUTOS%)</f>
        <v>310.10000000000002</v>
      </c>
    </row>
    <row r="92" spans="2:6" s="108" customFormat="1" x14ac:dyDescent="0.4">
      <c r="B92" s="268" t="s">
        <v>46</v>
      </c>
      <c r="C92" s="269"/>
      <c r="D92" s="269"/>
      <c r="E92" s="270"/>
      <c r="F92" s="37">
        <f>AL_6_A_CUSTOS_INDIRETOS_12X36_NOT+AL_6_B_LUCRO_12X36_NOT+AL_6_C_TRIBUTOS_12X36_NOT</f>
        <v>1077.8</v>
      </c>
    </row>
    <row r="93" spans="2:6" s="108" customFormat="1" x14ac:dyDescent="0.4">
      <c r="B93" s="264" t="s">
        <v>261</v>
      </c>
      <c r="C93" s="264"/>
      <c r="D93" s="264"/>
      <c r="E93" s="264"/>
      <c r="F93" s="264"/>
    </row>
    <row r="94" spans="2:6" s="108" customFormat="1" x14ac:dyDescent="0.4">
      <c r="B94" s="147" t="s">
        <v>2</v>
      </c>
      <c r="C94" s="275" t="str">
        <f>'INSERÇÃO-DE-DADOS'!C86:E86</f>
        <v>Dia do Vigilante - Clausula 82ª CCT - Jornada 12x36 noturno</v>
      </c>
      <c r="D94" s="276"/>
      <c r="E94" s="277"/>
      <c r="F94" s="57">
        <f>'INSERÇÃO-DE-DADOS'!F86</f>
        <v>11.69</v>
      </c>
    </row>
    <row r="95" spans="2:6" s="108" customFormat="1" ht="20.399999999999999" x14ac:dyDescent="0.4">
      <c r="B95" s="52" t="s">
        <v>53</v>
      </c>
      <c r="C95" s="15"/>
      <c r="D95" s="15"/>
      <c r="E95" s="15"/>
      <c r="F95" s="23"/>
    </row>
    <row r="96" spans="2:6" s="109" customFormat="1" ht="16.5" customHeight="1" x14ac:dyDescent="0.4">
      <c r="B96" s="2" t="s">
        <v>98</v>
      </c>
      <c r="C96" s="257" t="s">
        <v>99</v>
      </c>
      <c r="D96" s="258"/>
      <c r="E96" s="259"/>
      <c r="F96" s="4" t="s">
        <v>17</v>
      </c>
    </row>
    <row r="97" spans="2:6" s="108" customFormat="1" x14ac:dyDescent="0.4">
      <c r="B97" s="1">
        <v>1</v>
      </c>
      <c r="C97" s="298" t="s">
        <v>9</v>
      </c>
      <c r="D97" s="298"/>
      <c r="E97" s="298"/>
      <c r="F97" s="58">
        <f>MOD_1_REMUNERACAO_12X36_NOT</f>
        <v>2291.19</v>
      </c>
    </row>
    <row r="98" spans="2:6" s="110" customFormat="1" ht="16.5" customHeight="1" x14ac:dyDescent="0.4">
      <c r="B98" s="2">
        <v>2</v>
      </c>
      <c r="C98" s="300" t="s">
        <v>100</v>
      </c>
      <c r="D98" s="300"/>
      <c r="E98" s="300"/>
      <c r="F98" s="36">
        <f>MOD_2_ENCARGOS_BENEFICIOS_12X36_NOT</f>
        <v>1731.84</v>
      </c>
    </row>
    <row r="99" spans="2:6" s="110" customFormat="1" x14ac:dyDescent="0.4">
      <c r="B99" s="2">
        <v>3</v>
      </c>
      <c r="C99" s="298" t="s">
        <v>48</v>
      </c>
      <c r="D99" s="298"/>
      <c r="E99" s="298"/>
      <c r="F99" s="58">
        <f>MOD_3_PROVISAO_RESCISAO_12X36_NOT</f>
        <v>57.01</v>
      </c>
    </row>
    <row r="100" spans="2:6" s="110" customFormat="1" x14ac:dyDescent="0.4">
      <c r="B100" s="2">
        <v>4</v>
      </c>
      <c r="C100" s="300" t="s">
        <v>51</v>
      </c>
      <c r="D100" s="300"/>
      <c r="E100" s="300"/>
      <c r="F100" s="36">
        <f>MOD_4_CUSTO_REPOSICAO_12X36_NOT</f>
        <v>713.94</v>
      </c>
    </row>
    <row r="101" spans="2:6" s="110" customFormat="1" x14ac:dyDescent="0.4">
      <c r="B101" s="2">
        <v>5</v>
      </c>
      <c r="C101" s="298" t="s">
        <v>0</v>
      </c>
      <c r="D101" s="298"/>
      <c r="E101" s="298"/>
      <c r="F101" s="58">
        <f>MOD_5_INSUMOS_12X36_NOT</f>
        <v>330.2</v>
      </c>
    </row>
    <row r="102" spans="2:6" s="110" customFormat="1" x14ac:dyDescent="0.4">
      <c r="B102" s="2">
        <v>6</v>
      </c>
      <c r="C102" s="300" t="s">
        <v>20</v>
      </c>
      <c r="D102" s="300"/>
      <c r="E102" s="300"/>
      <c r="F102" s="36">
        <f>MOD_6_CUSTOS_IND_LUCRO_TRIB_12X36_NOT</f>
        <v>1077.8</v>
      </c>
    </row>
    <row r="103" spans="2:6" s="110" customFormat="1" x14ac:dyDescent="0.4">
      <c r="B103" s="148">
        <v>7</v>
      </c>
      <c r="C103" s="275" t="str">
        <f>C94</f>
        <v>Dia do Vigilante - Clausula 82ª CCT - Jornada 12x36 noturno</v>
      </c>
      <c r="D103" s="276"/>
      <c r="E103" s="277"/>
      <c r="F103" s="57">
        <f>F94</f>
        <v>11.69</v>
      </c>
    </row>
    <row r="104" spans="2:6" ht="16.5" customHeight="1" x14ac:dyDescent="0.4">
      <c r="B104" s="302" t="s">
        <v>101</v>
      </c>
      <c r="C104" s="302"/>
      <c r="D104" s="302"/>
      <c r="E104" s="302"/>
      <c r="F104" s="37">
        <f>SUM(F97:F103)</f>
        <v>6213.67</v>
      </c>
    </row>
    <row r="105" spans="2:6" ht="16.5" customHeight="1" x14ac:dyDescent="0.4">
      <c r="B105" s="302" t="s">
        <v>30</v>
      </c>
      <c r="C105" s="302"/>
      <c r="D105" s="302"/>
      <c r="E105" s="302"/>
      <c r="F105" s="37">
        <f>VALOR_TOTAL_EMPREGADO_12x36_NOT*EMPREG_POR_POSTO_12X36_NOT</f>
        <v>12427.34</v>
      </c>
    </row>
  </sheetData>
  <mergeCells count="94">
    <mergeCell ref="B1:F1"/>
    <mergeCell ref="B2:D2"/>
    <mergeCell ref="B3:F3"/>
    <mergeCell ref="B4:F4"/>
    <mergeCell ref="B5:C5"/>
    <mergeCell ref="D5:F5"/>
    <mergeCell ref="D16:F16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C31:D31"/>
    <mergeCell ref="C17:E17"/>
    <mergeCell ref="B18:F18"/>
    <mergeCell ref="B19:E19"/>
    <mergeCell ref="C21:E21"/>
    <mergeCell ref="C22:E22"/>
    <mergeCell ref="C23:E23"/>
    <mergeCell ref="C24:E24"/>
    <mergeCell ref="C25:E25"/>
    <mergeCell ref="C26:E26"/>
    <mergeCell ref="C27:E27"/>
    <mergeCell ref="B28:E28"/>
    <mergeCell ref="C43:D43"/>
    <mergeCell ref="C32:D32"/>
    <mergeCell ref="C33:D33"/>
    <mergeCell ref="B34:E34"/>
    <mergeCell ref="B35:F35"/>
    <mergeCell ref="C36:D36"/>
    <mergeCell ref="C37:D37"/>
    <mergeCell ref="C38:D38"/>
    <mergeCell ref="C39:D39"/>
    <mergeCell ref="C40:D40"/>
    <mergeCell ref="C41:D41"/>
    <mergeCell ref="C42:D42"/>
    <mergeCell ref="C57:D57"/>
    <mergeCell ref="C44:D44"/>
    <mergeCell ref="B45:E45"/>
    <mergeCell ref="C47:E47"/>
    <mergeCell ref="C48:E48"/>
    <mergeCell ref="C49:E49"/>
    <mergeCell ref="C50:E50"/>
    <mergeCell ref="C51:E51"/>
    <mergeCell ref="C52:E52"/>
    <mergeCell ref="B53:E53"/>
    <mergeCell ref="C55:D55"/>
    <mergeCell ref="C56:D56"/>
    <mergeCell ref="C73:E73"/>
    <mergeCell ref="C58:D58"/>
    <mergeCell ref="B59:E59"/>
    <mergeCell ref="C63:D63"/>
    <mergeCell ref="C64:D64"/>
    <mergeCell ref="C65:D65"/>
    <mergeCell ref="C66:D66"/>
    <mergeCell ref="C67:D67"/>
    <mergeCell ref="C68:D68"/>
    <mergeCell ref="C69:D69"/>
    <mergeCell ref="B70:E70"/>
    <mergeCell ref="C72:E72"/>
    <mergeCell ref="C87:D87"/>
    <mergeCell ref="B74:E74"/>
    <mergeCell ref="C77:E77"/>
    <mergeCell ref="C78:E78"/>
    <mergeCell ref="C79:E79"/>
    <mergeCell ref="C80:E80"/>
    <mergeCell ref="C81:E81"/>
    <mergeCell ref="B82:E82"/>
    <mergeCell ref="B84:F84"/>
    <mergeCell ref="C85:D85"/>
    <mergeCell ref="C86:D86"/>
    <mergeCell ref="C100:E100"/>
    <mergeCell ref="C88:D88"/>
    <mergeCell ref="C89:D89"/>
    <mergeCell ref="C90:D90"/>
    <mergeCell ref="C91:D91"/>
    <mergeCell ref="B92:E92"/>
    <mergeCell ref="B93:F93"/>
    <mergeCell ref="C94:E94"/>
    <mergeCell ref="C96:E96"/>
    <mergeCell ref="C97:E97"/>
    <mergeCell ref="C98:E98"/>
    <mergeCell ref="C99:E99"/>
    <mergeCell ref="C101:E101"/>
    <mergeCell ref="C102:E102"/>
    <mergeCell ref="C103:E103"/>
    <mergeCell ref="B104:E104"/>
    <mergeCell ref="B105:E105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05"/>
  <sheetViews>
    <sheetView topLeftCell="A69" zoomScaleNormal="100" zoomScaleSheetLayoutView="100" workbookViewId="0">
      <selection activeCell="F73" sqref="F73"/>
    </sheetView>
  </sheetViews>
  <sheetFormatPr defaultColWidth="9.109375" defaultRowHeight="16.8" x14ac:dyDescent="0.4"/>
  <cols>
    <col min="1" max="1" width="2.6640625" style="13" customWidth="1"/>
    <col min="2" max="2" width="8.88671875" style="13" customWidth="1"/>
    <col min="3" max="3" width="52.5546875" style="19" customWidth="1"/>
    <col min="4" max="4" width="7.88671875" style="19" customWidth="1"/>
    <col min="5" max="5" width="13.5546875" style="19" customWidth="1"/>
    <col min="6" max="6" width="15.44140625" style="19" bestFit="1" customWidth="1"/>
    <col min="7" max="7" width="15.44140625" style="13" customWidth="1"/>
    <col min="8" max="8" width="65.33203125" style="13" customWidth="1"/>
    <col min="9" max="10" width="12.5546875" style="13" bestFit="1" customWidth="1"/>
    <col min="11" max="16384" width="9.109375" style="13"/>
  </cols>
  <sheetData>
    <row r="1" spans="2:6" ht="20.399999999999999" x14ac:dyDescent="0.45">
      <c r="B1" s="313" t="str">
        <f>RAMO</f>
        <v>RAMO: MINISTÉRIO PÚBLIC FEDERAL</v>
      </c>
      <c r="C1" s="314"/>
      <c r="D1" s="314"/>
      <c r="E1" s="314"/>
      <c r="F1" s="315"/>
    </row>
    <row r="2" spans="2:6" ht="20.399999999999999" x14ac:dyDescent="0.45">
      <c r="B2" s="316" t="str">
        <f>UG</f>
        <v>UNIDADE GESTORA (SIGLA): PR-PA</v>
      </c>
      <c r="C2" s="317"/>
      <c r="D2" s="318"/>
      <c r="E2" s="113" t="s">
        <v>57</v>
      </c>
      <c r="F2" s="114" t="str">
        <f>DATA_DO_ORCAMENTO_ESTIMATIVO</f>
        <v>XX/XX/20XX</v>
      </c>
    </row>
    <row r="3" spans="2:6" s="98" customFormat="1" ht="24.6" x14ac:dyDescent="0.55000000000000004">
      <c r="B3" s="281" t="s">
        <v>54</v>
      </c>
      <c r="C3" s="281"/>
      <c r="D3" s="281"/>
      <c r="E3" s="281"/>
      <c r="F3" s="281"/>
    </row>
    <row r="4" spans="2:6" s="98" customFormat="1" ht="15.9" customHeight="1" x14ac:dyDescent="0.4">
      <c r="B4" s="282" t="s">
        <v>97</v>
      </c>
      <c r="C4" s="282"/>
      <c r="D4" s="282"/>
      <c r="E4" s="282"/>
      <c r="F4" s="282"/>
    </row>
    <row r="5" spans="2:6" s="98" customFormat="1" ht="15.9" customHeight="1" x14ac:dyDescent="0.4">
      <c r="B5" s="285" t="s">
        <v>223</v>
      </c>
      <c r="C5" s="285"/>
      <c r="D5" s="319" t="str">
        <f>NUMERO_PROCESSO</f>
        <v>1.23.000.000855/2020-32</v>
      </c>
      <c r="E5" s="319"/>
      <c r="F5" s="319"/>
    </row>
    <row r="6" spans="2:6" s="98" customFormat="1" ht="15.75" customHeight="1" x14ac:dyDescent="0.4">
      <c r="B6" s="289" t="s">
        <v>224</v>
      </c>
      <c r="C6" s="289"/>
      <c r="D6" s="320" t="str">
        <f>MODALIDADE_DE_LICITACAO</f>
        <v>Pregão nº</v>
      </c>
      <c r="E6" s="320"/>
      <c r="F6" s="118" t="str">
        <f>NUMERO_PREGAO</f>
        <v>XX/20XX</v>
      </c>
    </row>
    <row r="7" spans="2:6" s="99" customFormat="1" ht="15.75" customHeight="1" x14ac:dyDescent="0.45">
      <c r="B7" s="321" t="s">
        <v>58</v>
      </c>
      <c r="C7" s="321"/>
      <c r="D7" s="321"/>
      <c r="E7" s="321"/>
      <c r="F7" s="321"/>
    </row>
    <row r="8" spans="2:6" s="98" customFormat="1" ht="18" customHeight="1" x14ac:dyDescent="0.4">
      <c r="B8" s="25" t="s">
        <v>2</v>
      </c>
      <c r="C8" s="285" t="s">
        <v>63</v>
      </c>
      <c r="D8" s="285"/>
      <c r="E8" s="285"/>
      <c r="F8" s="119" t="str">
        <f>DATA_APRESENTACAO_PROPOSTA</f>
        <v>XX/XX/20XX</v>
      </c>
    </row>
    <row r="9" spans="2:6" s="98" customFormat="1" ht="15.9" customHeight="1" x14ac:dyDescent="0.25">
      <c r="B9" s="1" t="s">
        <v>3</v>
      </c>
      <c r="C9" s="67" t="s">
        <v>36</v>
      </c>
      <c r="D9" s="311" t="s">
        <v>268</v>
      </c>
      <c r="E9" s="311"/>
      <c r="F9" s="311"/>
    </row>
    <row r="10" spans="2:6" s="98" customFormat="1" ht="18.75" customHeight="1" x14ac:dyDescent="0.4">
      <c r="B10" s="25" t="s">
        <v>4</v>
      </c>
      <c r="C10" s="285" t="s">
        <v>37</v>
      </c>
      <c r="D10" s="285"/>
      <c r="E10" s="285"/>
      <c r="F10" s="120" t="str">
        <f>ACORDO_COLETIVO</f>
        <v>CCT 2020/2021</v>
      </c>
    </row>
    <row r="11" spans="2:6" s="98" customFormat="1" ht="15.9" customHeight="1" x14ac:dyDescent="0.4">
      <c r="B11" s="1" t="s">
        <v>5</v>
      </c>
      <c r="C11" s="311" t="s">
        <v>64</v>
      </c>
      <c r="D11" s="311"/>
      <c r="E11" s="311"/>
      <c r="F11" s="121">
        <f>NUMERO_MESES_EXEC_CONTRATUAL</f>
        <v>12</v>
      </c>
    </row>
    <row r="12" spans="2:6" s="98" customFormat="1" x14ac:dyDescent="0.4">
      <c r="B12" s="1" t="s">
        <v>6</v>
      </c>
      <c r="C12" s="312" t="s">
        <v>85</v>
      </c>
      <c r="D12" s="312"/>
      <c r="E12" s="312"/>
      <c r="F12" s="102">
        <v>2</v>
      </c>
    </row>
    <row r="13" spans="2:6" s="98" customFormat="1" ht="7.5" customHeight="1" x14ac:dyDescent="0.4">
      <c r="B13" s="122"/>
      <c r="C13" s="123"/>
      <c r="D13" s="123"/>
      <c r="E13" s="123"/>
      <c r="F13" s="104"/>
    </row>
    <row r="14" spans="2:6" s="98" customFormat="1" ht="21" customHeight="1" x14ac:dyDescent="0.55000000000000004">
      <c r="B14" s="106" t="s">
        <v>205</v>
      </c>
      <c r="C14" s="13"/>
      <c r="D14" s="13"/>
      <c r="E14" s="13"/>
      <c r="F14" s="13"/>
    </row>
    <row r="15" spans="2:6" s="98" customFormat="1" x14ac:dyDescent="0.4">
      <c r="B15" s="25">
        <v>1</v>
      </c>
      <c r="C15" s="243" t="s">
        <v>60</v>
      </c>
      <c r="D15" s="243"/>
      <c r="E15" s="247" t="str">
        <f>TIPO_DE_SERVICO</f>
        <v>Vigilância</v>
      </c>
      <c r="F15" s="247"/>
    </row>
    <row r="16" spans="2:6" s="99" customFormat="1" x14ac:dyDescent="0.4">
      <c r="B16" s="25">
        <v>2</v>
      </c>
      <c r="C16" s="27" t="s">
        <v>59</v>
      </c>
      <c r="D16" s="246" t="str">
        <f>CBO</f>
        <v>5173-30</v>
      </c>
      <c r="E16" s="246"/>
      <c r="F16" s="246"/>
    </row>
    <row r="17" spans="2:6" s="98" customFormat="1" ht="15" customHeight="1" x14ac:dyDescent="0.4">
      <c r="B17" s="25">
        <v>3</v>
      </c>
      <c r="C17" s="56" t="s">
        <v>61</v>
      </c>
      <c r="D17" s="247" t="str">
        <f>CATEGORIA_PROFISSIONAL</f>
        <v>Vigilante</v>
      </c>
      <c r="E17" s="247"/>
      <c r="F17" s="247"/>
    </row>
    <row r="18" spans="2:6" s="98" customFormat="1" ht="15" customHeight="1" x14ac:dyDescent="0.4">
      <c r="B18" s="25">
        <v>4</v>
      </c>
      <c r="C18" s="248" t="s">
        <v>62</v>
      </c>
      <c r="D18" s="248"/>
      <c r="E18" s="248"/>
      <c r="F18" s="135">
        <f>DATA_BASE_CATEGORIA</f>
        <v>43831</v>
      </c>
    </row>
    <row r="19" spans="2:6" s="98" customFormat="1" ht="15" customHeight="1" x14ac:dyDescent="0.4">
      <c r="B19" s="28"/>
      <c r="C19" s="29"/>
      <c r="D19" s="29"/>
      <c r="E19" s="29"/>
      <c r="F19" s="105"/>
    </row>
    <row r="20" spans="2:6" s="124" customFormat="1" ht="30" customHeight="1" x14ac:dyDescent="0.4">
      <c r="B20" s="322" t="s">
        <v>40</v>
      </c>
      <c r="C20" s="322"/>
      <c r="D20" s="322"/>
      <c r="E20" s="322"/>
      <c r="F20" s="322"/>
    </row>
    <row r="21" spans="2:6" x14ac:dyDescent="0.4">
      <c r="B21" s="260" t="s">
        <v>52</v>
      </c>
      <c r="C21" s="260"/>
      <c r="D21" s="260"/>
      <c r="E21" s="260"/>
      <c r="F21" s="117">
        <v>2</v>
      </c>
    </row>
    <row r="22" spans="2:6" x14ac:dyDescent="0.4">
      <c r="B22" s="51" t="s">
        <v>8</v>
      </c>
      <c r="E22" s="14"/>
      <c r="F22" s="14"/>
    </row>
    <row r="23" spans="2:6" x14ac:dyDescent="0.4">
      <c r="B23" s="1">
        <v>1</v>
      </c>
      <c r="C23" s="244" t="s">
        <v>9</v>
      </c>
      <c r="D23" s="323"/>
      <c r="E23" s="245"/>
      <c r="F23" s="4" t="s">
        <v>13</v>
      </c>
    </row>
    <row r="24" spans="2:6" x14ac:dyDescent="0.4">
      <c r="B24" s="1" t="s">
        <v>2</v>
      </c>
      <c r="C24" s="275" t="s">
        <v>92</v>
      </c>
      <c r="D24" s="276"/>
      <c r="E24" s="277"/>
      <c r="F24" s="57">
        <f>SALARIO_BASE</f>
        <v>1401.07</v>
      </c>
    </row>
    <row r="25" spans="2:6" x14ac:dyDescent="0.4">
      <c r="B25" s="1" t="s">
        <v>3</v>
      </c>
      <c r="C25" s="251" t="s">
        <v>94</v>
      </c>
      <c r="D25" s="252"/>
      <c r="E25" s="253"/>
      <c r="F25" s="10">
        <f>PERC_ADIC_PERIC%*SALARIO_BASE</f>
        <v>420.32</v>
      </c>
    </row>
    <row r="26" spans="2:6" x14ac:dyDescent="0.4">
      <c r="B26" s="1" t="s">
        <v>4</v>
      </c>
      <c r="C26" s="305" t="str">
        <f>OUTROS_REMUNERACAO_1_DESCRICAO</f>
        <v>DSR - Adicional noturno - 1/6</v>
      </c>
      <c r="D26" s="306"/>
      <c r="E26" s="307"/>
      <c r="F26" s="57">
        <v>0</v>
      </c>
    </row>
    <row r="27" spans="2:6" x14ac:dyDescent="0.4">
      <c r="B27" s="1" t="s">
        <v>5</v>
      </c>
      <c r="C27" s="305" t="str">
        <f>OUTROS_REMUNERACAO_2_DESCRICAO</f>
        <v>DSR - Hora noturna reduzida - 1/6</v>
      </c>
      <c r="D27" s="306"/>
      <c r="E27" s="307"/>
      <c r="F27" s="10">
        <f>OUTROS_REMUNERACAO_2</f>
        <v>0</v>
      </c>
    </row>
    <row r="28" spans="2:6" x14ac:dyDescent="0.4">
      <c r="B28" s="268" t="s">
        <v>46</v>
      </c>
      <c r="C28" s="269"/>
      <c r="D28" s="269"/>
      <c r="E28" s="270"/>
      <c r="F28" s="40">
        <f>SUM(F24:F27)</f>
        <v>1821.39</v>
      </c>
    </row>
    <row r="29" spans="2:6" x14ac:dyDescent="0.4">
      <c r="B29" s="51" t="s">
        <v>65</v>
      </c>
      <c r="E29" s="21"/>
      <c r="F29" s="21"/>
    </row>
    <row r="30" spans="2:6" x14ac:dyDescent="0.4">
      <c r="B30" s="51" t="s">
        <v>110</v>
      </c>
      <c r="C30" s="12"/>
      <c r="D30" s="22"/>
      <c r="E30" s="20"/>
      <c r="F30" s="20"/>
    </row>
    <row r="31" spans="2:6" x14ac:dyDescent="0.4">
      <c r="B31" s="1" t="s">
        <v>66</v>
      </c>
      <c r="C31" s="268" t="s">
        <v>93</v>
      </c>
      <c r="D31" s="270"/>
      <c r="E31" s="4" t="s">
        <v>1</v>
      </c>
      <c r="F31" s="4" t="s">
        <v>13</v>
      </c>
    </row>
    <row r="32" spans="2:6" x14ac:dyDescent="0.4">
      <c r="B32" s="1" t="s">
        <v>2</v>
      </c>
      <c r="C32" s="275" t="s">
        <v>47</v>
      </c>
      <c r="D32" s="276"/>
      <c r="E32" s="59">
        <f>PERC_DEC_TERC</f>
        <v>8.33</v>
      </c>
      <c r="F32" s="58">
        <f>PERC_DEC_TERC%*MOD_1_REMUNERACAO_12X36_DIU</f>
        <v>151.72</v>
      </c>
    </row>
    <row r="33" spans="2:8" s="17" customFormat="1" x14ac:dyDescent="0.4">
      <c r="B33" s="2" t="s">
        <v>3</v>
      </c>
      <c r="C33" s="251" t="s">
        <v>95</v>
      </c>
      <c r="D33" s="253"/>
      <c r="E33" s="38">
        <f>PERC_ADIC_FERIAS</f>
        <v>2.78</v>
      </c>
      <c r="F33" s="36">
        <f>PERC_ADIC_FERIAS%*MOD_1_REMUNERACAO_12X36_DIU</f>
        <v>50.63</v>
      </c>
    </row>
    <row r="34" spans="2:8" s="107" customFormat="1" x14ac:dyDescent="0.4">
      <c r="B34" s="268" t="s">
        <v>46</v>
      </c>
      <c r="C34" s="269"/>
      <c r="D34" s="269"/>
      <c r="E34" s="270"/>
      <c r="F34" s="41">
        <f>SUM(F32:F33)</f>
        <v>202.35</v>
      </c>
    </row>
    <row r="35" spans="2:8" s="107" customFormat="1" ht="31.5" customHeight="1" x14ac:dyDescent="0.4">
      <c r="B35" s="308" t="s">
        <v>68</v>
      </c>
      <c r="C35" s="308"/>
      <c r="D35" s="308"/>
      <c r="E35" s="308"/>
      <c r="F35" s="308"/>
    </row>
    <row r="36" spans="2:8" s="107" customFormat="1" ht="34.5" customHeight="1" x14ac:dyDescent="0.4">
      <c r="B36" s="1" t="s">
        <v>69</v>
      </c>
      <c r="C36" s="309" t="s">
        <v>96</v>
      </c>
      <c r="D36" s="310"/>
      <c r="E36" s="4" t="s">
        <v>1</v>
      </c>
      <c r="F36" s="4" t="s">
        <v>13</v>
      </c>
    </row>
    <row r="37" spans="2:8" x14ac:dyDescent="0.4">
      <c r="B37" s="1" t="s">
        <v>2</v>
      </c>
      <c r="C37" s="275" t="s">
        <v>41</v>
      </c>
      <c r="D37" s="276"/>
      <c r="E37" s="59">
        <f>PERC_INSS</f>
        <v>20</v>
      </c>
      <c r="F37" s="58">
        <f>PERC_INSS%*(MOD_1_REMUNERACAO_12X36_DIU+SUBMOD_2_1_DEC_TERC_ADIC_FERIAS_12X36_DIU)</f>
        <v>404.75</v>
      </c>
    </row>
    <row r="38" spans="2:8" s="98" customFormat="1" x14ac:dyDescent="0.4">
      <c r="B38" s="2" t="s">
        <v>3</v>
      </c>
      <c r="C38" s="251" t="s">
        <v>43</v>
      </c>
      <c r="D38" s="253"/>
      <c r="E38" s="46">
        <f>PERC_SAL_EDUCACAO</f>
        <v>2.5</v>
      </c>
      <c r="F38" s="36">
        <f>PERC_SAL_EDUCACAO%*(MOD_1_REMUNERACAO_12X36_DIU+SUBMOD_2_1_DEC_TERC_ADIC_FERIAS_12X36_DIU)</f>
        <v>50.59</v>
      </c>
      <c r="G38" s="13"/>
      <c r="H38" s="13"/>
    </row>
    <row r="39" spans="2:8" s="98" customFormat="1" x14ac:dyDescent="0.4">
      <c r="B39" s="2" t="s">
        <v>4</v>
      </c>
      <c r="C39" s="275" t="s">
        <v>236</v>
      </c>
      <c r="D39" s="276"/>
      <c r="E39" s="59">
        <f>PERC_RAT</f>
        <v>6</v>
      </c>
      <c r="F39" s="58">
        <f>PERC_RAT%*(MOD_1_REMUNERACAO_12X36_DIU+SUBMOD_2_1_DEC_TERC_ADIC_FERIAS_12X36_DIU)</f>
        <v>121.42</v>
      </c>
      <c r="G39" s="13"/>
      <c r="H39" s="13"/>
    </row>
    <row r="40" spans="2:8" s="98" customFormat="1" x14ac:dyDescent="0.4">
      <c r="B40" s="2" t="s">
        <v>5</v>
      </c>
      <c r="C40" s="251" t="s">
        <v>88</v>
      </c>
      <c r="D40" s="253"/>
      <c r="E40" s="38">
        <f>PERC_SESC</f>
        <v>1.5</v>
      </c>
      <c r="F40" s="36">
        <f>PERC_SESC%*(MOD_1_REMUNERACAO_12X36_DIU+SUBMOD_2_1_DEC_TERC_ADIC_FERIAS_12X36_DIU)</f>
        <v>30.36</v>
      </c>
      <c r="G40" s="13"/>
      <c r="H40" s="13"/>
    </row>
    <row r="41" spans="2:8" s="98" customFormat="1" x14ac:dyDescent="0.4">
      <c r="B41" s="2" t="s">
        <v>6</v>
      </c>
      <c r="C41" s="275" t="s">
        <v>89</v>
      </c>
      <c r="D41" s="276"/>
      <c r="E41" s="59">
        <f>PERC_SENAC</f>
        <v>1</v>
      </c>
      <c r="F41" s="58">
        <f>PERC_SENAC%*(MOD_1_REMUNERACAO_12X36_DIU+SUBMOD_2_1_DEC_TERC_ADIC_FERIAS_12X36_DIU)</f>
        <v>20.239999999999998</v>
      </c>
      <c r="G41" s="13"/>
      <c r="H41" s="13"/>
    </row>
    <row r="42" spans="2:8" s="99" customFormat="1" x14ac:dyDescent="0.4">
      <c r="B42" s="2" t="s">
        <v>7</v>
      </c>
      <c r="C42" s="251" t="s">
        <v>45</v>
      </c>
      <c r="D42" s="253"/>
      <c r="E42" s="46">
        <f>PERC_SEBRAE</f>
        <v>0.6</v>
      </c>
      <c r="F42" s="36">
        <f>PERC_SEBRAE%*(MOD_1_REMUNERACAO_12X36_DIU+SUBMOD_2_1_DEC_TERC_ADIC_FERIAS_12X36_DIU)</f>
        <v>12.14</v>
      </c>
      <c r="G42" s="13"/>
      <c r="H42" s="13"/>
    </row>
    <row r="43" spans="2:8" s="99" customFormat="1" x14ac:dyDescent="0.4">
      <c r="B43" s="2" t="s">
        <v>10</v>
      </c>
      <c r="C43" s="275" t="s">
        <v>42</v>
      </c>
      <c r="D43" s="276"/>
      <c r="E43" s="59">
        <f>PERC_INCRA</f>
        <v>0.2</v>
      </c>
      <c r="F43" s="58">
        <f>PERC_INCRA%*(MOD_1_REMUNERACAO_12X36_DIU+SUBMOD_2_1_DEC_TERC_ADIC_FERIAS_12X36_DIU)</f>
        <v>4.05</v>
      </c>
      <c r="G43" s="13"/>
      <c r="H43" s="13"/>
    </row>
    <row r="44" spans="2:8" x14ac:dyDescent="0.4">
      <c r="B44" s="2" t="s">
        <v>11</v>
      </c>
      <c r="C44" s="251" t="s">
        <v>44</v>
      </c>
      <c r="D44" s="253"/>
      <c r="E44" s="46">
        <f>PERC_FGTS</f>
        <v>8</v>
      </c>
      <c r="F44" s="36">
        <f>PERC_FGTS%*(MOD_1_REMUNERACAO_12X36_DIU+SUBMOD_2_1_DEC_TERC_ADIC_FERIAS_12X36_DIU)</f>
        <v>161.9</v>
      </c>
    </row>
    <row r="45" spans="2:8" x14ac:dyDescent="0.4">
      <c r="B45" s="268" t="s">
        <v>46</v>
      </c>
      <c r="C45" s="269"/>
      <c r="D45" s="269"/>
      <c r="E45" s="270"/>
      <c r="F45" s="42">
        <f>SUM(F37:F44)</f>
        <v>805.45</v>
      </c>
    </row>
    <row r="46" spans="2:8" ht="15.75" customHeight="1" x14ac:dyDescent="0.4">
      <c r="B46" s="51" t="s">
        <v>71</v>
      </c>
      <c r="C46" s="99"/>
      <c r="D46" s="99"/>
      <c r="E46" s="99"/>
      <c r="F46" s="99"/>
    </row>
    <row r="47" spans="2:8" ht="15.75" customHeight="1" x14ac:dyDescent="0.4">
      <c r="B47" s="1" t="s">
        <v>90</v>
      </c>
      <c r="C47" s="268" t="s">
        <v>14</v>
      </c>
      <c r="D47" s="269"/>
      <c r="E47" s="270"/>
      <c r="F47" s="4" t="s">
        <v>13</v>
      </c>
    </row>
    <row r="48" spans="2:8" x14ac:dyDescent="0.4">
      <c r="B48" s="25" t="s">
        <v>2</v>
      </c>
      <c r="C48" s="275" t="s">
        <v>15</v>
      </c>
      <c r="D48" s="276"/>
      <c r="E48" s="277"/>
      <c r="F48" s="58">
        <f>IF((((3.6*2)*DIAS_TRABALHADOS_NO_MES_12X36)-(PERC_DESC_TRANSP_REMUNERACAO%*(AL_1_A_SAL_BASE_12X36_DIU/2)))&gt;0,(((3.6*2)*DIAS_TRABALHADOS_NO_MES_12X36)-(PERC_DESC_TRANSP_REMUNERACAO%*(AL_1_A_SAL_BASE_12X36_DIU/2))),0)</f>
        <v>65.97</v>
      </c>
      <c r="G48" s="145"/>
    </row>
    <row r="49" spans="2:7" s="107" customFormat="1" x14ac:dyDescent="0.4">
      <c r="B49" s="25" t="s">
        <v>3</v>
      </c>
      <c r="C49" s="251" t="s">
        <v>70</v>
      </c>
      <c r="D49" s="252"/>
      <c r="E49" s="253"/>
      <c r="F49" s="36">
        <f>ALIMENTACAO_POR_DIA*DIAS_TRABALHADOS_NO_MES_12X36*0.99</f>
        <v>386.1</v>
      </c>
      <c r="G49" s="13"/>
    </row>
    <row r="50" spans="2:7" s="107" customFormat="1" x14ac:dyDescent="0.4">
      <c r="B50" s="25" t="s">
        <v>4</v>
      </c>
      <c r="C50" s="275" t="str">
        <f>OUTROS_BENEFICIOS_1_DESCRICAO</f>
        <v>Auxílio saúde</v>
      </c>
      <c r="D50" s="276"/>
      <c r="E50" s="277"/>
      <c r="F50" s="58"/>
      <c r="G50" s="13"/>
    </row>
    <row r="51" spans="2:7" s="107" customFormat="1" x14ac:dyDescent="0.4">
      <c r="B51" s="25" t="s">
        <v>5</v>
      </c>
      <c r="C51" s="305" t="str">
        <f>OUTROS_BENEFICIOS_2_DESCRICAO</f>
        <v>Auxílio morte/funeral</v>
      </c>
      <c r="D51" s="306"/>
      <c r="E51" s="307"/>
      <c r="F51" s="36"/>
      <c r="G51" s="13"/>
    </row>
    <row r="52" spans="2:7" s="107" customFormat="1" x14ac:dyDescent="0.4">
      <c r="B52" s="25" t="s">
        <v>6</v>
      </c>
      <c r="C52" s="275" t="str">
        <f>OUTROS_BENEFICIOS_3_DESCRICAO</f>
        <v>Seguro de vida</v>
      </c>
      <c r="D52" s="276"/>
      <c r="E52" s="277"/>
      <c r="F52" s="58"/>
    </row>
    <row r="53" spans="2:7" s="107" customFormat="1" ht="15" customHeight="1" x14ac:dyDescent="0.4">
      <c r="B53" s="268" t="s">
        <v>46</v>
      </c>
      <c r="C53" s="269"/>
      <c r="D53" s="269"/>
      <c r="E53" s="270"/>
      <c r="F53" s="40">
        <f>SUM(F48:F52)</f>
        <v>452.07</v>
      </c>
    </row>
    <row r="54" spans="2:7" s="107" customFormat="1" x14ac:dyDescent="0.4">
      <c r="B54" s="51" t="s">
        <v>72</v>
      </c>
      <c r="C54" s="12"/>
      <c r="D54" s="22"/>
      <c r="E54" s="20"/>
      <c r="F54" s="20"/>
    </row>
    <row r="55" spans="2:7" s="107" customFormat="1" ht="15" customHeight="1" x14ac:dyDescent="0.4">
      <c r="B55" s="1">
        <v>3</v>
      </c>
      <c r="C55" s="260" t="s">
        <v>48</v>
      </c>
      <c r="D55" s="260"/>
      <c r="E55" s="4" t="s">
        <v>1</v>
      </c>
      <c r="F55" s="4" t="s">
        <v>13</v>
      </c>
    </row>
    <row r="56" spans="2:7" s="107" customFormat="1" x14ac:dyDescent="0.4">
      <c r="B56" s="1" t="s">
        <v>2</v>
      </c>
      <c r="C56" s="301" t="s">
        <v>49</v>
      </c>
      <c r="D56" s="301"/>
      <c r="E56" s="59">
        <f>PERC_AVISO_PREVIO_IND</f>
        <v>0.28999999999999998</v>
      </c>
      <c r="F56" s="58">
        <f>PERC_AVISO_PREVIO_IND%*(MOD_1_REMUNERACAO_12X36_DIU+SUBMOD_2_1_DEC_TERC_ADIC_FERIAS_12X36_DIU+AL_2_2_FGTS_12X36_DIU+SUBMOD_2_3_BENEFICIOS_12X36_DIU)</f>
        <v>7.65</v>
      </c>
    </row>
    <row r="57" spans="2:7" s="107" customFormat="1" x14ac:dyDescent="0.4">
      <c r="B57" s="2" t="s">
        <v>3</v>
      </c>
      <c r="C57" s="303" t="s">
        <v>50</v>
      </c>
      <c r="D57" s="303"/>
      <c r="E57" s="46">
        <f>PERC_AVISO_PREVIO_TRAB</f>
        <v>1.1599999999999999</v>
      </c>
      <c r="F57" s="36">
        <f>PERC_AVISO_PREVIO_TRAB%*(MOD_1_REMUNERACAO_12X36_DIU+SUBMOD_2_1_DEC_TERC_ADIC_FERIAS_12X36_DIU+SUBMOD_2_2_GPS_FGTS_12X36_DIU+SUBMOD_2_3_BENEFICIOS_12X36_DIU)</f>
        <v>38.06</v>
      </c>
    </row>
    <row r="58" spans="2:7" s="98" customFormat="1" x14ac:dyDescent="0.25">
      <c r="B58" s="2" t="s">
        <v>4</v>
      </c>
      <c r="C58" s="301" t="s">
        <v>232</v>
      </c>
      <c r="D58" s="301"/>
      <c r="E58" s="59">
        <f>PERC_MULTA_FGTS_AV_PREV_TRAB</f>
        <v>0.04</v>
      </c>
      <c r="F58" s="58">
        <f>PERC_MULTA_FGTS_AV_PREV_TRAB%*(MOD_1_REMUNERACAO_12X36_DIU+SUBMOD_2_1_DEC_TERC_ADIC_FERIAS_12X36_DIU)</f>
        <v>0.81</v>
      </c>
    </row>
    <row r="59" spans="2:7" s="98" customFormat="1" x14ac:dyDescent="0.4">
      <c r="B59" s="268" t="s">
        <v>46</v>
      </c>
      <c r="C59" s="269"/>
      <c r="D59" s="269"/>
      <c r="E59" s="270"/>
      <c r="F59" s="41">
        <f>SUM(F56:F58)</f>
        <v>46.52</v>
      </c>
    </row>
    <row r="60" spans="2:7" ht="7.5" customHeight="1" x14ac:dyDescent="0.4">
      <c r="B60" s="16"/>
      <c r="C60" s="17"/>
      <c r="D60" s="18"/>
      <c r="E60" s="14"/>
      <c r="F60" s="14"/>
    </row>
    <row r="61" spans="2:7" s="98" customFormat="1" ht="15.9" customHeight="1" x14ac:dyDescent="0.4">
      <c r="B61" s="51" t="s">
        <v>73</v>
      </c>
      <c r="C61" s="12"/>
      <c r="D61" s="22"/>
      <c r="E61" s="13"/>
      <c r="F61" s="13"/>
    </row>
    <row r="62" spans="2:7" s="98" customFormat="1" ht="15.9" customHeight="1" x14ac:dyDescent="0.4">
      <c r="B62" s="51" t="s">
        <v>102</v>
      </c>
      <c r="C62" s="12"/>
      <c r="D62" s="22"/>
      <c r="E62" s="20"/>
      <c r="F62" s="20"/>
    </row>
    <row r="63" spans="2:7" s="98" customFormat="1" x14ac:dyDescent="0.25">
      <c r="B63" s="1" t="s">
        <v>18</v>
      </c>
      <c r="C63" s="302" t="s">
        <v>103</v>
      </c>
      <c r="D63" s="302"/>
      <c r="E63" s="4" t="s">
        <v>1</v>
      </c>
      <c r="F63" s="4" t="s">
        <v>13</v>
      </c>
    </row>
    <row r="64" spans="2:7" s="98" customFormat="1" ht="15.9" customHeight="1" x14ac:dyDescent="0.25">
      <c r="B64" s="2" t="s">
        <v>2</v>
      </c>
      <c r="C64" s="298" t="s">
        <v>104</v>
      </c>
      <c r="D64" s="298"/>
      <c r="E64" s="59">
        <f>PERC_SUBSTITUTO_FERIAS</f>
        <v>8.33</v>
      </c>
      <c r="F64" s="58">
        <f>PERC_SUBSTITUTO_FERIAS%*(MOD_1_REMUNERACAO_12X36_DIU+MOD_2_ENCARGOS_BENEFICIOS_12X36_DIU+MOD_3_PROVISAO_RESCISAO_12X36_DIU)</f>
        <v>277.2</v>
      </c>
    </row>
    <row r="65" spans="2:7" s="98" customFormat="1" ht="15.9" customHeight="1" x14ac:dyDescent="0.25">
      <c r="B65" s="2" t="s">
        <v>3</v>
      </c>
      <c r="C65" s="300" t="s">
        <v>105</v>
      </c>
      <c r="D65" s="300"/>
      <c r="E65" s="46">
        <f>PERC_SUBSTITUTO_AUSENCIAS_LEGAIS</f>
        <v>2.2200000000000002</v>
      </c>
      <c r="F65" s="36">
        <f>PERC_SUBSTITUTO_AUSENCIAS_LEGAIS%*(MOD_1_REMUNERACAO_12X36_DIU+MOD_2_ENCARGOS_BENEFICIOS_12X36_DIU+MOD_3_PROVISAO_RESCISAO_12X36_DIU)</f>
        <v>73.88</v>
      </c>
    </row>
    <row r="66" spans="2:7" s="98" customFormat="1" ht="15.9" customHeight="1" x14ac:dyDescent="0.25">
      <c r="B66" s="2" t="s">
        <v>4</v>
      </c>
      <c r="C66" s="298" t="s">
        <v>106</v>
      </c>
      <c r="D66" s="298"/>
      <c r="E66" s="59">
        <f>PERC_SUBSTITUTO_LICENCA_PATERNIDADE</f>
        <v>7.0000000000000007E-2</v>
      </c>
      <c r="F66" s="58">
        <f>PERC_SUBSTITUTO_LICENCA_PATERNIDADE%*(MOD_1_REMUNERACAO_12X36_DIU+MOD_2_ENCARGOS_BENEFICIOS_12X36_DIU+MOD_3_PROVISAO_RESCISAO_12X36_DIU)</f>
        <v>2.33</v>
      </c>
    </row>
    <row r="67" spans="2:7" s="98" customFormat="1" x14ac:dyDescent="0.25">
      <c r="B67" s="2" t="s">
        <v>5</v>
      </c>
      <c r="C67" s="300" t="s">
        <v>107</v>
      </c>
      <c r="D67" s="300"/>
      <c r="E67" s="46">
        <f>PERC_SUBSTITUTO_ACID_TRAB</f>
        <v>0.02</v>
      </c>
      <c r="F67" s="36">
        <f>PERC_SUBSTITUTO_ACID_TRAB%*(MOD_1_REMUNERACAO_12X36_DIU+MOD_2_ENCARGOS_BENEFICIOS_12X36_DIU+MOD_3_PROVISAO_RESCISAO_12X36_DIU)</f>
        <v>0.67</v>
      </c>
    </row>
    <row r="68" spans="2:7" s="98" customFormat="1" x14ac:dyDescent="0.25">
      <c r="B68" s="2" t="s">
        <v>6</v>
      </c>
      <c r="C68" s="298" t="s">
        <v>108</v>
      </c>
      <c r="D68" s="298"/>
      <c r="E68" s="59">
        <f>PERC_SUBSTITUTO_AFAST_MATERN</f>
        <v>0.04</v>
      </c>
      <c r="F68" s="58">
        <f>PERC_SUBSTITUTO_AFAST_MATERN%*(MOD_1_REMUNERACAO_12X36_DIU+MOD_2_ENCARGOS_BENEFICIOS_12X36_DIU+MOD_3_PROVISAO_RESCISAO_12X36_DIU)</f>
        <v>1.33</v>
      </c>
    </row>
    <row r="69" spans="2:7" s="98" customFormat="1" x14ac:dyDescent="0.25">
      <c r="B69" s="2" t="s">
        <v>7</v>
      </c>
      <c r="C69" s="325" t="str">
        <f>OUTRAS_AUSENCIAS_DESCRICAO</f>
        <v>Outras Ausências (Especificar - em %)</v>
      </c>
      <c r="D69" s="300"/>
      <c r="E69" s="53">
        <f>PERC_SUBSTITUTO_OUTRAS_AUSENCIAS</f>
        <v>0</v>
      </c>
      <c r="F69" s="36">
        <f>PERC_SUBSTITUTO_OUTRAS_AUSENCIAS%*(MOD_1_REMUNERACAO_12X36_DIU+MOD_2_ENCARGOS_BENEFICIOS_12X36_DIU+MOD_3_PROVISAO_RESCISAO_12X36_DIU)</f>
        <v>0</v>
      </c>
    </row>
    <row r="70" spans="2:7" s="98" customFormat="1" x14ac:dyDescent="0.4">
      <c r="B70" s="268" t="s">
        <v>46</v>
      </c>
      <c r="C70" s="269"/>
      <c r="D70" s="269"/>
      <c r="E70" s="270"/>
      <c r="F70" s="41">
        <f>SUM(F64:F69)</f>
        <v>355.41</v>
      </c>
    </row>
    <row r="71" spans="2:7" s="98" customFormat="1" ht="15" customHeight="1" x14ac:dyDescent="0.4">
      <c r="B71" s="51" t="s">
        <v>226</v>
      </c>
      <c r="C71" s="12"/>
      <c r="D71" s="22"/>
      <c r="E71" s="20"/>
      <c r="F71" s="20"/>
    </row>
    <row r="72" spans="2:7" s="98" customFormat="1" x14ac:dyDescent="0.25">
      <c r="B72" s="1" t="s">
        <v>19</v>
      </c>
      <c r="C72" s="260" t="s">
        <v>225</v>
      </c>
      <c r="D72" s="260"/>
      <c r="E72" s="260"/>
      <c r="F72" s="4" t="s">
        <v>13</v>
      </c>
    </row>
    <row r="73" spans="2:7" s="98" customFormat="1" x14ac:dyDescent="0.25">
      <c r="B73" s="1" t="s">
        <v>2</v>
      </c>
      <c r="C73" s="298" t="s">
        <v>109</v>
      </c>
      <c r="D73" s="298"/>
      <c r="E73" s="298"/>
      <c r="F73" s="57">
        <f>((MOD_1_REMUNERACAO_12X36_DIU+MOD_2_ENCARGOS_BENEFICIOS_12X36_DIU+MOD_3_PROVISAO_RESCISAO_12X36_DIU)/DIVISOR_DE_HORAS)*((TEMPO_INTERVALO_REFEICAO/HORA_NORMAL))*DIAS_TRABALHADOS_NO_MES_12X36</f>
        <v>226.89</v>
      </c>
      <c r="G73" s="140"/>
    </row>
    <row r="74" spans="2:7" s="98" customFormat="1" x14ac:dyDescent="0.4">
      <c r="B74" s="260" t="s">
        <v>46</v>
      </c>
      <c r="C74" s="260"/>
      <c r="D74" s="260"/>
      <c r="E74" s="260"/>
      <c r="F74" s="41">
        <f>SUM(F73)</f>
        <v>226.89</v>
      </c>
    </row>
    <row r="75" spans="2:7" ht="7.5" customHeight="1" x14ac:dyDescent="0.4">
      <c r="B75" s="16"/>
      <c r="C75" s="17"/>
      <c r="D75" s="18"/>
      <c r="E75" s="14"/>
      <c r="F75" s="14"/>
    </row>
    <row r="76" spans="2:7" x14ac:dyDescent="0.4">
      <c r="B76" s="51" t="s">
        <v>77</v>
      </c>
      <c r="C76" s="12"/>
      <c r="D76" s="12"/>
      <c r="E76" s="20"/>
      <c r="F76" s="20"/>
    </row>
    <row r="77" spans="2:7" ht="15.75" customHeight="1" x14ac:dyDescent="0.4">
      <c r="B77" s="49">
        <v>5</v>
      </c>
      <c r="C77" s="271" t="s">
        <v>0</v>
      </c>
      <c r="D77" s="271"/>
      <c r="E77" s="271"/>
      <c r="F77" s="50" t="s">
        <v>13</v>
      </c>
    </row>
    <row r="78" spans="2:7" x14ac:dyDescent="0.4">
      <c r="B78" s="44" t="s">
        <v>2</v>
      </c>
      <c r="C78" s="272" t="s">
        <v>16</v>
      </c>
      <c r="D78" s="272"/>
      <c r="E78" s="272"/>
      <c r="F78" s="60">
        <f>UNIFORMES</f>
        <v>244.71</v>
      </c>
    </row>
    <row r="79" spans="2:7" x14ac:dyDescent="0.4">
      <c r="B79" s="44" t="s">
        <v>3</v>
      </c>
      <c r="C79" s="273" t="s">
        <v>285</v>
      </c>
      <c r="D79" s="273"/>
      <c r="E79" s="273"/>
      <c r="F79" s="47">
        <f>MATERIAIS</f>
        <v>77.400000000000006</v>
      </c>
    </row>
    <row r="80" spans="2:7" x14ac:dyDescent="0.4">
      <c r="B80" s="44" t="s">
        <v>4</v>
      </c>
      <c r="C80" s="272" t="s">
        <v>286</v>
      </c>
      <c r="D80" s="272"/>
      <c r="E80" s="272"/>
      <c r="F80" s="60">
        <f>EQUIPAMENTOS</f>
        <v>8.09</v>
      </c>
    </row>
    <row r="81" spans="2:8" x14ac:dyDescent="0.4">
      <c r="B81" s="44" t="s">
        <v>5</v>
      </c>
      <c r="C81" s="324" t="str">
        <f>OUTROS_INSUMOS_DESCRICAO</f>
        <v>Outros (Especificar)</v>
      </c>
      <c r="D81" s="273"/>
      <c r="E81" s="273"/>
      <c r="F81" s="47">
        <f>OUTROS_INSUMOS</f>
        <v>0</v>
      </c>
    </row>
    <row r="82" spans="2:8" x14ac:dyDescent="0.4">
      <c r="B82" s="328" t="s">
        <v>46</v>
      </c>
      <c r="C82" s="328"/>
      <c r="D82" s="328"/>
      <c r="E82" s="328"/>
      <c r="F82" s="43">
        <f>SUM(F78:F81)</f>
        <v>330.2</v>
      </c>
    </row>
    <row r="83" spans="2:8" ht="7.5" customHeight="1" x14ac:dyDescent="0.4">
      <c r="B83" s="16"/>
      <c r="C83" s="17"/>
      <c r="D83" s="18"/>
      <c r="E83" s="14"/>
      <c r="F83" s="14"/>
    </row>
    <row r="84" spans="2:8" ht="15" customHeight="1" x14ac:dyDescent="0.4">
      <c r="B84" s="264" t="s">
        <v>76</v>
      </c>
      <c r="C84" s="264"/>
      <c r="D84" s="264"/>
      <c r="E84" s="264"/>
      <c r="F84" s="264"/>
    </row>
    <row r="85" spans="2:8" x14ac:dyDescent="0.4">
      <c r="B85" s="1">
        <v>6</v>
      </c>
      <c r="C85" s="260" t="s">
        <v>20</v>
      </c>
      <c r="D85" s="260"/>
      <c r="E85" s="4" t="s">
        <v>1</v>
      </c>
      <c r="F85" s="4" t="s">
        <v>13</v>
      </c>
    </row>
    <row r="86" spans="2:8" x14ac:dyDescent="0.4">
      <c r="B86" s="1" t="s">
        <v>2</v>
      </c>
      <c r="C86" s="298" t="s">
        <v>78</v>
      </c>
      <c r="D86" s="298"/>
      <c r="E86" s="61">
        <f>PERC_CUSTOS_INDIRETOS</f>
        <v>4.8499999999999996</v>
      </c>
      <c r="F86" s="58">
        <f>PERC_CUSTOS_INDIRETOS%*(MOD_1_REMUNERACAO_12X36_DIU+MOD_2_ENCARGOS_BENEFICIOS_12X36_DIU+MOD_3_PROVISAO_RESCISAO_12X36_DIU+MOD_4_CUSTO_REPOSICAO_12X36_DIU+MOD_5_INSUMOS_12X36_DIU)</f>
        <v>205.65</v>
      </c>
    </row>
    <row r="87" spans="2:8" ht="15.75" customHeight="1" x14ac:dyDescent="0.4">
      <c r="B87" s="2" t="s">
        <v>3</v>
      </c>
      <c r="C87" s="300" t="s">
        <v>32</v>
      </c>
      <c r="D87" s="300"/>
      <c r="E87" s="48">
        <f>PERC_LUCRO</f>
        <v>5.45</v>
      </c>
      <c r="F87" s="36">
        <f>PERC_LUCRO%*(MOD_1_REMUNERACAO_12X36_DIU+MOD_2_ENCARGOS_BENEFICIOS_12X36_DIU+MOD_3_PROVISAO_RESCISAO_12X36_DIU+MOD_4_CUSTO_REPOSICAO_12X36_DIU+MOD_5_INSUMOS_12X36_DIU+AL_6_A_CUSTOS_INDIRETOS_12X36_DIU)</f>
        <v>242.3</v>
      </c>
    </row>
    <row r="88" spans="2:8" x14ac:dyDescent="0.4">
      <c r="B88" s="2" t="s">
        <v>4</v>
      </c>
      <c r="C88" s="298" t="s">
        <v>21</v>
      </c>
      <c r="D88" s="298"/>
      <c r="E88" s="61">
        <f>SUM(E89:E91)</f>
        <v>8.65</v>
      </c>
      <c r="F88" s="58">
        <f>SUM(F89:F91)</f>
        <v>443.93</v>
      </c>
    </row>
    <row r="89" spans="2:8" ht="15.75" customHeight="1" x14ac:dyDescent="0.4">
      <c r="B89" s="30" t="s">
        <v>79</v>
      </c>
      <c r="C89" s="326" t="s">
        <v>23</v>
      </c>
      <c r="D89" s="326"/>
      <c r="E89" s="31">
        <f>PERC_PIS</f>
        <v>0.65</v>
      </c>
      <c r="F89" s="63">
        <f>((MOD_1_REMUNERACAO_12X36_DIU+MOD_2_ENCARGOS_BENEFICIOS_12X36_DIU+MOD_3_PROVISAO_RESCISAO_12X36_DIU+MOD_4_CUSTO_REPOSICAO_12X36_DIU+MOD_5_INSUMOS_12X36_DIU+AL_6_A_CUSTOS_INDIRETOS_12X36_DIU+AL_6_B_LUCRO_12X36_DIU)*PERC_PIS%)/(1-PERC_TRIBUTOS%)</f>
        <v>33.36</v>
      </c>
    </row>
    <row r="90" spans="2:8" x14ac:dyDescent="0.4">
      <c r="B90" s="30" t="s">
        <v>80</v>
      </c>
      <c r="C90" s="327" t="s">
        <v>24</v>
      </c>
      <c r="D90" s="327"/>
      <c r="E90" s="62">
        <f>PERC_COFINS</f>
        <v>3</v>
      </c>
      <c r="F90" s="64">
        <f>((MOD_1_REMUNERACAO_12X36_DIU+MOD_2_ENCARGOS_BENEFICIOS_12X36_DIU+MOD_3_PROVISAO_RESCISAO_12X36_DIU+MOD_4_CUSTO_REPOSICAO_12X36_DIU+MOD_5_INSUMOS_12X36_DIU+AL_6_A_CUSTOS_INDIRETOS_12X36_DIU+AL_6_B_LUCRO_12X36_DIU)*PERC_COFINS%)/(1-PERC_TRIBUTOS%)</f>
        <v>153.96</v>
      </c>
    </row>
    <row r="91" spans="2:8" s="108" customFormat="1" x14ac:dyDescent="0.4">
      <c r="B91" s="30" t="s">
        <v>81</v>
      </c>
      <c r="C91" s="326" t="s">
        <v>25</v>
      </c>
      <c r="D91" s="326"/>
      <c r="E91" s="31">
        <f>PERC_ISS</f>
        <v>5</v>
      </c>
      <c r="F91" s="63">
        <f>((MOD_1_REMUNERACAO_12X36_DIU+MOD_2_ENCARGOS_BENEFICIOS_12X36_DIU+MOD_3_PROVISAO_RESCISAO_12X36_DIU+MOD_4_CUSTO_REPOSICAO_12X36_DIU+MOD_5_INSUMOS_12X36_DIU+AL_6_A_CUSTOS_INDIRETOS_12X36_DIU+AL_6_B_LUCRO_12X36_DIU)*PERC_ISS%)/(1-PERC_TRIBUTOS%)</f>
        <v>256.61</v>
      </c>
      <c r="H91" s="13"/>
    </row>
    <row r="92" spans="2:8" s="108" customFormat="1" x14ac:dyDescent="0.4">
      <c r="B92" s="268" t="s">
        <v>46</v>
      </c>
      <c r="C92" s="269"/>
      <c r="D92" s="269"/>
      <c r="E92" s="270"/>
      <c r="F92" s="37">
        <f>AL_6_A_CUSTOS_INDIRETOS_12X36_DIU+AL_6_B_LUCRO_12X36_DIU+AL_6_C_TRIBUTOS_12X36_DIU</f>
        <v>891.88</v>
      </c>
    </row>
    <row r="93" spans="2:8" s="108" customFormat="1" x14ac:dyDescent="0.4">
      <c r="B93" s="264" t="s">
        <v>261</v>
      </c>
      <c r="C93" s="264"/>
      <c r="D93" s="264"/>
      <c r="E93" s="264"/>
      <c r="F93" s="264"/>
    </row>
    <row r="94" spans="2:8" s="108" customFormat="1" x14ac:dyDescent="0.4">
      <c r="B94" s="147" t="s">
        <v>2</v>
      </c>
      <c r="C94" s="275" t="str">
        <f>'INSERÇÃO-DE-DADOS'!C85:E85</f>
        <v>Dia do Vigilante - Clausula 82ª CCT - Jornada 12x36 diurno</v>
      </c>
      <c r="D94" s="276"/>
      <c r="E94" s="277"/>
      <c r="F94" s="57">
        <f>'INSERÇÃO-DE-DADOS'!F85</f>
        <v>8.2799999999999994</v>
      </c>
    </row>
    <row r="95" spans="2:8" s="108" customFormat="1" ht="20.399999999999999" x14ac:dyDescent="0.4">
      <c r="B95" s="52" t="s">
        <v>53</v>
      </c>
      <c r="C95" s="15"/>
      <c r="D95" s="15"/>
      <c r="E95" s="15"/>
      <c r="F95" s="23"/>
    </row>
    <row r="96" spans="2:8" s="109" customFormat="1" ht="16.5" customHeight="1" x14ac:dyDescent="0.4">
      <c r="B96" s="2" t="s">
        <v>98</v>
      </c>
      <c r="C96" s="257" t="s">
        <v>99</v>
      </c>
      <c r="D96" s="258"/>
      <c r="E96" s="259"/>
      <c r="F96" s="4" t="s">
        <v>17</v>
      </c>
      <c r="H96" s="128"/>
    </row>
    <row r="97" spans="2:8" s="108" customFormat="1" x14ac:dyDescent="0.4">
      <c r="B97" s="1">
        <v>1</v>
      </c>
      <c r="C97" s="298" t="s">
        <v>9</v>
      </c>
      <c r="D97" s="298"/>
      <c r="E97" s="298"/>
      <c r="F97" s="58">
        <f>MOD_1_REMUNERACAO_12X36_DIU</f>
        <v>1821.39</v>
      </c>
    </row>
    <row r="98" spans="2:8" s="110" customFormat="1" ht="16.5" customHeight="1" x14ac:dyDescent="0.4">
      <c r="B98" s="2">
        <v>2</v>
      </c>
      <c r="C98" s="300" t="s">
        <v>100</v>
      </c>
      <c r="D98" s="300"/>
      <c r="E98" s="300"/>
      <c r="F98" s="36">
        <f>MOD_2_ENCARGOS_BENEFICIOS_12X36_DIU</f>
        <v>1459.87</v>
      </c>
    </row>
    <row r="99" spans="2:8" s="110" customFormat="1" x14ac:dyDescent="0.4">
      <c r="B99" s="2">
        <v>3</v>
      </c>
      <c r="C99" s="298" t="s">
        <v>48</v>
      </c>
      <c r="D99" s="298"/>
      <c r="E99" s="298"/>
      <c r="F99" s="58">
        <f>MOD_3_PROVISAO_RESCISAO_12X36_DIU</f>
        <v>46.52</v>
      </c>
    </row>
    <row r="100" spans="2:8" s="110" customFormat="1" x14ac:dyDescent="0.4">
      <c r="B100" s="2">
        <v>4</v>
      </c>
      <c r="C100" s="300" t="s">
        <v>51</v>
      </c>
      <c r="D100" s="300"/>
      <c r="E100" s="300"/>
      <c r="F100" s="36">
        <f>MOD_4_CUSTO_REPOSICAO_12X36_DIU</f>
        <v>582.29999999999995</v>
      </c>
    </row>
    <row r="101" spans="2:8" s="110" customFormat="1" x14ac:dyDescent="0.4">
      <c r="B101" s="2">
        <v>5</v>
      </c>
      <c r="C101" s="298" t="s">
        <v>0</v>
      </c>
      <c r="D101" s="298"/>
      <c r="E101" s="298"/>
      <c r="F101" s="58">
        <f>MOD_5_INSUMOS_12X36_DIU</f>
        <v>330.2</v>
      </c>
    </row>
    <row r="102" spans="2:8" s="110" customFormat="1" x14ac:dyDescent="0.4">
      <c r="B102" s="2">
        <v>6</v>
      </c>
      <c r="C102" s="300" t="s">
        <v>20</v>
      </c>
      <c r="D102" s="300"/>
      <c r="E102" s="300"/>
      <c r="F102" s="36">
        <f>MOD_6_CUSTOS_IND_LUCRO_TRIB_12X36_DIU</f>
        <v>891.88</v>
      </c>
    </row>
    <row r="103" spans="2:8" s="110" customFormat="1" x14ac:dyDescent="0.4">
      <c r="B103" s="2">
        <v>7</v>
      </c>
      <c r="C103" s="149" t="str">
        <f>C94</f>
        <v>Dia do Vigilante - Clausula 82ª CCT - Jornada 12x36 diurno</v>
      </c>
      <c r="D103" s="146"/>
      <c r="E103" s="146"/>
      <c r="F103" s="36">
        <f>F94</f>
        <v>8.2799999999999994</v>
      </c>
    </row>
    <row r="104" spans="2:8" ht="16.5" customHeight="1" x14ac:dyDescent="0.4">
      <c r="B104" s="302" t="s">
        <v>101</v>
      </c>
      <c r="C104" s="302"/>
      <c r="D104" s="302"/>
      <c r="E104" s="302"/>
      <c r="F104" s="37">
        <f>SUM(F97:F103)</f>
        <v>5140.4399999999996</v>
      </c>
      <c r="H104" s="129"/>
    </row>
    <row r="105" spans="2:8" ht="16.5" customHeight="1" x14ac:dyDescent="0.4">
      <c r="B105" s="302" t="s">
        <v>30</v>
      </c>
      <c r="C105" s="302"/>
      <c r="D105" s="302"/>
      <c r="E105" s="302"/>
      <c r="F105" s="37">
        <f>VALOR_TOTAL_EMPREGADO_12x36_DIU*EMPREG_POR_POSTO_12X36_DIU</f>
        <v>10280.879999999999</v>
      </c>
    </row>
  </sheetData>
  <mergeCells count="91">
    <mergeCell ref="B105:E105"/>
    <mergeCell ref="C90:D90"/>
    <mergeCell ref="C91:D91"/>
    <mergeCell ref="B92:E92"/>
    <mergeCell ref="C96:E96"/>
    <mergeCell ref="C97:E97"/>
    <mergeCell ref="C98:E98"/>
    <mergeCell ref="C99:E99"/>
    <mergeCell ref="C100:E100"/>
    <mergeCell ref="C101:E101"/>
    <mergeCell ref="C102:E102"/>
    <mergeCell ref="B104:E104"/>
    <mergeCell ref="B93:F93"/>
    <mergeCell ref="C94:E94"/>
    <mergeCell ref="C89:D89"/>
    <mergeCell ref="C77:E77"/>
    <mergeCell ref="C78:E78"/>
    <mergeCell ref="C79:E79"/>
    <mergeCell ref="C80:E80"/>
    <mergeCell ref="C81:E81"/>
    <mergeCell ref="B82:E82"/>
    <mergeCell ref="B84:F84"/>
    <mergeCell ref="C85:D85"/>
    <mergeCell ref="C86:D86"/>
    <mergeCell ref="C87:D87"/>
    <mergeCell ref="C88:D88"/>
    <mergeCell ref="B74:E74"/>
    <mergeCell ref="B59:E59"/>
    <mergeCell ref="C63:D63"/>
    <mergeCell ref="C64:D64"/>
    <mergeCell ref="C65:D65"/>
    <mergeCell ref="C66:D66"/>
    <mergeCell ref="C67:D67"/>
    <mergeCell ref="C68:D68"/>
    <mergeCell ref="C69:D69"/>
    <mergeCell ref="B70:E70"/>
    <mergeCell ref="C72:E72"/>
    <mergeCell ref="C73:E73"/>
    <mergeCell ref="C58:D58"/>
    <mergeCell ref="B45:E45"/>
    <mergeCell ref="C47:E47"/>
    <mergeCell ref="C48:E48"/>
    <mergeCell ref="C49:E49"/>
    <mergeCell ref="C50:E50"/>
    <mergeCell ref="C51:E51"/>
    <mergeCell ref="C52:E52"/>
    <mergeCell ref="B53:E53"/>
    <mergeCell ref="C55:D55"/>
    <mergeCell ref="C56:D56"/>
    <mergeCell ref="C57:D57"/>
    <mergeCell ref="C44:D44"/>
    <mergeCell ref="C33:D33"/>
    <mergeCell ref="B34:E34"/>
    <mergeCell ref="B35:F35"/>
    <mergeCell ref="C36:D36"/>
    <mergeCell ref="C37:D37"/>
    <mergeCell ref="C38:D38"/>
    <mergeCell ref="C39:D39"/>
    <mergeCell ref="C40:D40"/>
    <mergeCell ref="C41:D41"/>
    <mergeCell ref="C42:D42"/>
    <mergeCell ref="C43:D43"/>
    <mergeCell ref="C32:D32"/>
    <mergeCell ref="C18:E18"/>
    <mergeCell ref="B20:F20"/>
    <mergeCell ref="B21:E21"/>
    <mergeCell ref="C23:E23"/>
    <mergeCell ref="C24:E24"/>
    <mergeCell ref="C25:E25"/>
    <mergeCell ref="C26:E26"/>
    <mergeCell ref="C27:E27"/>
    <mergeCell ref="B28:E28"/>
    <mergeCell ref="C31:D31"/>
    <mergeCell ref="D17:F17"/>
    <mergeCell ref="B6:C6"/>
    <mergeCell ref="D6:E6"/>
    <mergeCell ref="B7:F7"/>
    <mergeCell ref="C8:E8"/>
    <mergeCell ref="D9:F9"/>
    <mergeCell ref="C10:E10"/>
    <mergeCell ref="C11:E11"/>
    <mergeCell ref="C12:E12"/>
    <mergeCell ref="C15:D15"/>
    <mergeCell ref="E15:F15"/>
    <mergeCell ref="D16:F16"/>
    <mergeCell ref="B1:F1"/>
    <mergeCell ref="B2:D2"/>
    <mergeCell ref="B3:F3"/>
    <mergeCell ref="B4:F4"/>
    <mergeCell ref="B5:C5"/>
    <mergeCell ref="D5:F5"/>
  </mergeCells>
  <printOptions horizontalCentered="1"/>
  <pageMargins left="0.15748031496062992" right="0.23622047244094491" top="0.24" bottom="0.15748031496062992" header="0.23622047244094491" footer="0.15748031496062992"/>
  <pageSetup paperSize="9" firstPageNumber="0" orientation="portrait" verticalDpi="30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5"/>
  <sheetViews>
    <sheetView topLeftCell="A24" zoomScaleNormal="100" zoomScaleSheetLayoutView="100" workbookViewId="0">
      <selection activeCell="F24" sqref="F24"/>
    </sheetView>
  </sheetViews>
  <sheetFormatPr defaultColWidth="9.109375" defaultRowHeight="16.8" x14ac:dyDescent="0.4"/>
  <cols>
    <col min="1" max="1" width="2.6640625" style="13" customWidth="1"/>
    <col min="2" max="2" width="8.88671875" style="13" customWidth="1"/>
    <col min="3" max="3" width="52.5546875" style="19" customWidth="1"/>
    <col min="4" max="4" width="7.88671875" style="19" customWidth="1"/>
    <col min="5" max="5" width="13.5546875" style="19" customWidth="1"/>
    <col min="6" max="6" width="15.44140625" style="19" bestFit="1" customWidth="1"/>
    <col min="7" max="7" width="9.6640625" style="13" bestFit="1" customWidth="1"/>
    <col min="8" max="16384" width="9.109375" style="13"/>
  </cols>
  <sheetData>
    <row r="1" spans="2:6" ht="20.399999999999999" x14ac:dyDescent="0.45">
      <c r="B1" s="313" t="str">
        <f>RAMO</f>
        <v>RAMO: MINISTÉRIO PÚBLIC FEDERAL</v>
      </c>
      <c r="C1" s="314"/>
      <c r="D1" s="314"/>
      <c r="E1" s="314"/>
      <c r="F1" s="315"/>
    </row>
    <row r="2" spans="2:6" ht="20.399999999999999" x14ac:dyDescent="0.45">
      <c r="B2" s="316" t="str">
        <f>UG</f>
        <v>UNIDADE GESTORA (SIGLA): PR-PA</v>
      </c>
      <c r="C2" s="317"/>
      <c r="D2" s="318"/>
      <c r="E2" s="113" t="s">
        <v>57</v>
      </c>
      <c r="F2" s="114" t="str">
        <f>DATA_DO_ORCAMENTO_ESTIMATIVO</f>
        <v>XX/XX/20XX</v>
      </c>
    </row>
    <row r="3" spans="2:6" s="98" customFormat="1" ht="24.6" x14ac:dyDescent="0.55000000000000004">
      <c r="B3" s="281" t="s">
        <v>55</v>
      </c>
      <c r="C3" s="281"/>
      <c r="D3" s="281"/>
      <c r="E3" s="281"/>
      <c r="F3" s="281"/>
    </row>
    <row r="4" spans="2:6" s="98" customFormat="1" ht="15.9" customHeight="1" x14ac:dyDescent="0.4">
      <c r="B4" s="282" t="s">
        <v>97</v>
      </c>
      <c r="C4" s="282"/>
      <c r="D4" s="282"/>
      <c r="E4" s="282"/>
      <c r="F4" s="282"/>
    </row>
    <row r="5" spans="2:6" s="98" customFormat="1" ht="15.9" customHeight="1" x14ac:dyDescent="0.4">
      <c r="B5" s="285" t="s">
        <v>223</v>
      </c>
      <c r="C5" s="285"/>
      <c r="D5" s="319" t="str">
        <f>NUMERO_PROCESSO</f>
        <v>1.23.000.000855/2020-32</v>
      </c>
      <c r="E5" s="319"/>
      <c r="F5" s="319"/>
    </row>
    <row r="6" spans="2:6" s="98" customFormat="1" ht="15.75" customHeight="1" x14ac:dyDescent="0.4">
      <c r="B6" s="289" t="s">
        <v>224</v>
      </c>
      <c r="C6" s="289"/>
      <c r="D6" s="320" t="str">
        <f>MODALIDADE_DE_LICITACAO</f>
        <v>Pregão nº</v>
      </c>
      <c r="E6" s="320"/>
      <c r="F6" s="118" t="str">
        <f>NUMERO_PREGAO</f>
        <v>XX/20XX</v>
      </c>
    </row>
    <row r="7" spans="2:6" s="99" customFormat="1" ht="15.75" customHeight="1" x14ac:dyDescent="0.45">
      <c r="B7" s="321" t="s">
        <v>58</v>
      </c>
      <c r="C7" s="321"/>
      <c r="D7" s="321"/>
      <c r="E7" s="321"/>
      <c r="F7" s="321"/>
    </row>
    <row r="8" spans="2:6" s="98" customFormat="1" ht="18" customHeight="1" x14ac:dyDescent="0.4">
      <c r="B8" s="25" t="s">
        <v>2</v>
      </c>
      <c r="C8" s="285" t="s">
        <v>63</v>
      </c>
      <c r="D8" s="285"/>
      <c r="E8" s="285"/>
      <c r="F8" s="119" t="str">
        <f>DATA_APRESENTACAO_PROPOSTA</f>
        <v>XX/XX/20XX</v>
      </c>
    </row>
    <row r="9" spans="2:6" s="98" customFormat="1" ht="15.9" customHeight="1" x14ac:dyDescent="0.25">
      <c r="B9" s="1" t="s">
        <v>3</v>
      </c>
      <c r="C9" s="67" t="s">
        <v>36</v>
      </c>
      <c r="D9" s="311" t="s">
        <v>268</v>
      </c>
      <c r="E9" s="311"/>
      <c r="F9" s="311"/>
    </row>
    <row r="10" spans="2:6" s="98" customFormat="1" ht="18.75" customHeight="1" x14ac:dyDescent="0.4">
      <c r="B10" s="25" t="s">
        <v>4</v>
      </c>
      <c r="C10" s="285" t="s">
        <v>37</v>
      </c>
      <c r="D10" s="285"/>
      <c r="E10" s="285"/>
      <c r="F10" s="120" t="str">
        <f>ACORDO_COLETIVO</f>
        <v>CCT 2020/2021</v>
      </c>
    </row>
    <row r="11" spans="2:6" s="98" customFormat="1" ht="15.9" customHeight="1" x14ac:dyDescent="0.4">
      <c r="B11" s="1" t="s">
        <v>5</v>
      </c>
      <c r="C11" s="311" t="s">
        <v>64</v>
      </c>
      <c r="D11" s="311"/>
      <c r="E11" s="311"/>
      <c r="F11" s="121">
        <f>NUMERO_MESES_EXEC_CONTRATUAL</f>
        <v>12</v>
      </c>
    </row>
    <row r="12" spans="2:6" s="98" customFormat="1" x14ac:dyDescent="0.4">
      <c r="B12" s="1" t="s">
        <v>6</v>
      </c>
      <c r="C12" s="312" t="s">
        <v>85</v>
      </c>
      <c r="D12" s="312"/>
      <c r="E12" s="312"/>
      <c r="F12" s="102">
        <v>2</v>
      </c>
    </row>
    <row r="13" spans="2:6" s="127" customFormat="1" ht="21" customHeight="1" x14ac:dyDescent="0.25">
      <c r="B13" s="125" t="s">
        <v>205</v>
      </c>
      <c r="C13" s="126"/>
      <c r="D13" s="126"/>
      <c r="E13" s="126"/>
      <c r="F13" s="126"/>
    </row>
    <row r="14" spans="2:6" s="98" customFormat="1" x14ac:dyDescent="0.4">
      <c r="B14" s="25">
        <v>1</v>
      </c>
      <c r="C14" s="243" t="s">
        <v>60</v>
      </c>
      <c r="D14" s="243"/>
      <c r="E14" s="247" t="str">
        <f>TIPO_DE_SERVICO</f>
        <v>Vigilância</v>
      </c>
      <c r="F14" s="247"/>
    </row>
    <row r="15" spans="2:6" s="99" customFormat="1" x14ac:dyDescent="0.4">
      <c r="B15" s="25">
        <v>2</v>
      </c>
      <c r="C15" s="27" t="s">
        <v>59</v>
      </c>
      <c r="D15" s="246" t="str">
        <f>CBO</f>
        <v>5173-30</v>
      </c>
      <c r="E15" s="246"/>
      <c r="F15" s="246"/>
    </row>
    <row r="16" spans="2:6" s="98" customFormat="1" ht="15" customHeight="1" x14ac:dyDescent="0.4">
      <c r="B16" s="25">
        <v>3</v>
      </c>
      <c r="C16" s="56" t="s">
        <v>61</v>
      </c>
      <c r="D16" s="247" t="str">
        <f>CATEGORIA_PROFISSIONAL</f>
        <v>Vigilante</v>
      </c>
      <c r="E16" s="247"/>
      <c r="F16" s="247"/>
    </row>
    <row r="17" spans="2:6" s="98" customFormat="1" ht="15" customHeight="1" x14ac:dyDescent="0.4">
      <c r="B17" s="25">
        <v>4</v>
      </c>
      <c r="C17" s="248" t="s">
        <v>62</v>
      </c>
      <c r="D17" s="248"/>
      <c r="E17" s="248"/>
      <c r="F17" s="135">
        <f>DATA_BASE_CATEGORIA</f>
        <v>43831</v>
      </c>
    </row>
    <row r="18" spans="2:6" s="124" customFormat="1" ht="30" customHeight="1" x14ac:dyDescent="0.4">
      <c r="B18" s="322" t="s">
        <v>40</v>
      </c>
      <c r="C18" s="322"/>
      <c r="D18" s="322"/>
      <c r="E18" s="322"/>
      <c r="F18" s="322"/>
    </row>
    <row r="19" spans="2:6" x14ac:dyDescent="0.4">
      <c r="B19" s="260" t="s">
        <v>52</v>
      </c>
      <c r="C19" s="260"/>
      <c r="D19" s="260"/>
      <c r="E19" s="260"/>
      <c r="F19" s="117">
        <v>2</v>
      </c>
    </row>
    <row r="20" spans="2:6" x14ac:dyDescent="0.4">
      <c r="B20" s="51" t="s">
        <v>8</v>
      </c>
      <c r="E20" s="14"/>
      <c r="F20" s="14"/>
    </row>
    <row r="21" spans="2:6" x14ac:dyDescent="0.4">
      <c r="B21" s="1">
        <v>1</v>
      </c>
      <c r="C21" s="250" t="s">
        <v>9</v>
      </c>
      <c r="D21" s="250"/>
      <c r="E21" s="250"/>
      <c r="F21" s="4" t="s">
        <v>13</v>
      </c>
    </row>
    <row r="22" spans="2:6" x14ac:dyDescent="0.4">
      <c r="B22" s="1" t="s">
        <v>2</v>
      </c>
      <c r="C22" s="249" t="s">
        <v>92</v>
      </c>
      <c r="D22" s="249"/>
      <c r="E22" s="249"/>
      <c r="F22" s="57">
        <f>SALARIO_BASE</f>
        <v>1401.07</v>
      </c>
    </row>
    <row r="23" spans="2:6" x14ac:dyDescent="0.4">
      <c r="B23" s="1" t="s">
        <v>3</v>
      </c>
      <c r="C23" s="300" t="s">
        <v>94</v>
      </c>
      <c r="D23" s="300"/>
      <c r="E23" s="300"/>
      <c r="F23" s="10">
        <f>PERC_ADIC_PERIC%*SALARIO_BASE</f>
        <v>420.32</v>
      </c>
    </row>
    <row r="24" spans="2:6" ht="15.75" customHeight="1" x14ac:dyDescent="0.4">
      <c r="B24" s="1" t="s">
        <v>4</v>
      </c>
      <c r="C24" s="331" t="s">
        <v>83</v>
      </c>
      <c r="D24" s="331"/>
      <c r="E24" s="331"/>
      <c r="F24" s="57">
        <f>7*15.2*0.2*((AL_1_A_SAL_BASE_12X36_NOT+AL_1_B_ADIC_PERIC_12X36_NOT)/220)</f>
        <v>176.18</v>
      </c>
    </row>
    <row r="25" spans="2:6" ht="15.75" customHeight="1" x14ac:dyDescent="0.4">
      <c r="B25" s="1" t="s">
        <v>5</v>
      </c>
      <c r="C25" s="300" t="s">
        <v>87</v>
      </c>
      <c r="D25" s="300"/>
      <c r="E25" s="300"/>
      <c r="F25" s="237">
        <f>((AL_1_A_SAL_BASE_12X36_NOT+AL_1_B_ADIC_PERIC_12X36_NOT)/DIVISOR_DE_HORAS)*((HORA_NORMAL-HORA_NOTURNA)/HORA_NOTURNA)*DIAS_NA_SEMANA*MEDIA_ANUAL_DIAS_TRABALHO_MES*1.2*1.5</f>
        <v>226.51</v>
      </c>
    </row>
    <row r="26" spans="2:6" x14ac:dyDescent="0.4">
      <c r="B26" s="1" t="s">
        <v>6</v>
      </c>
      <c r="C26" s="275" t="str">
        <f>OUTROS_REMUNERACAO_1_DESCRICAO</f>
        <v>DSR - Adicional noturno - 1/6</v>
      </c>
      <c r="D26" s="276"/>
      <c r="E26" s="277"/>
      <c r="F26" s="57">
        <f>1/6*AL_1_C_ADIC_NOT_12X36_NOT</f>
        <v>29.36</v>
      </c>
    </row>
    <row r="27" spans="2:6" x14ac:dyDescent="0.4">
      <c r="B27" s="1" t="s">
        <v>7</v>
      </c>
      <c r="C27" s="305" t="str">
        <f>OUTROS_REMUNERACAO_2_DESCRICAO</f>
        <v>DSR - Hora noturna reduzida - 1/6</v>
      </c>
      <c r="D27" s="306"/>
      <c r="E27" s="307"/>
      <c r="F27" s="10">
        <f>1/6*AL_1_D_ADIC_NOT_RED_12X36_NOT</f>
        <v>37.75</v>
      </c>
    </row>
    <row r="28" spans="2:6" x14ac:dyDescent="0.4">
      <c r="B28" s="329" t="s">
        <v>46</v>
      </c>
      <c r="C28" s="329"/>
      <c r="D28" s="329"/>
      <c r="E28" s="329"/>
      <c r="F28" s="40">
        <f>SUM(F22:F27)</f>
        <v>2291.19</v>
      </c>
    </row>
    <row r="29" spans="2:6" x14ac:dyDescent="0.4">
      <c r="B29" s="51" t="s">
        <v>65</v>
      </c>
      <c r="E29" s="21"/>
      <c r="F29" s="21"/>
    </row>
    <row r="30" spans="2:6" x14ac:dyDescent="0.4">
      <c r="B30" s="51" t="s">
        <v>110</v>
      </c>
      <c r="C30" s="12"/>
      <c r="D30" s="22"/>
      <c r="E30" s="20"/>
      <c r="F30" s="20"/>
    </row>
    <row r="31" spans="2:6" x14ac:dyDescent="0.4">
      <c r="B31" s="1" t="s">
        <v>66</v>
      </c>
      <c r="C31" s="260" t="s">
        <v>93</v>
      </c>
      <c r="D31" s="260"/>
      <c r="E31" s="4" t="s">
        <v>1</v>
      </c>
      <c r="F31" s="4" t="s">
        <v>13</v>
      </c>
    </row>
    <row r="32" spans="2:6" x14ac:dyDescent="0.4">
      <c r="B32" s="1" t="s">
        <v>2</v>
      </c>
      <c r="C32" s="298" t="s">
        <v>47</v>
      </c>
      <c r="D32" s="298"/>
      <c r="E32" s="59">
        <f>PERC_DEC_TERC</f>
        <v>8.33</v>
      </c>
      <c r="F32" s="58">
        <f>PERC_DEC_TERC%*MOD_1_REMUNERACAO_12X36_NOT</f>
        <v>190.86</v>
      </c>
    </row>
    <row r="33" spans="2:9" s="17" customFormat="1" x14ac:dyDescent="0.4">
      <c r="B33" s="2" t="s">
        <v>3</v>
      </c>
      <c r="C33" s="300" t="s">
        <v>95</v>
      </c>
      <c r="D33" s="300"/>
      <c r="E33" s="38">
        <f>PERC_ADIC_FERIAS</f>
        <v>2.78</v>
      </c>
      <c r="F33" s="36">
        <f>PERC_ADIC_FERIAS%*MOD_1_REMUNERACAO_12X36_NOT</f>
        <v>63.7</v>
      </c>
    </row>
    <row r="34" spans="2:9" s="107" customFormat="1" x14ac:dyDescent="0.4">
      <c r="B34" s="268" t="s">
        <v>46</v>
      </c>
      <c r="C34" s="269"/>
      <c r="D34" s="269"/>
      <c r="E34" s="270"/>
      <c r="F34" s="41">
        <f>SUM(F32:F33)</f>
        <v>254.56</v>
      </c>
    </row>
    <row r="35" spans="2:9" s="107" customFormat="1" ht="31.5" customHeight="1" x14ac:dyDescent="0.4">
      <c r="B35" s="330" t="s">
        <v>68</v>
      </c>
      <c r="C35" s="330"/>
      <c r="D35" s="330"/>
      <c r="E35" s="330"/>
      <c r="F35" s="330"/>
    </row>
    <row r="36" spans="2:9" s="107" customFormat="1" ht="34.5" customHeight="1" x14ac:dyDescent="0.4">
      <c r="B36" s="1" t="s">
        <v>69</v>
      </c>
      <c r="C36" s="304" t="s">
        <v>96</v>
      </c>
      <c r="D36" s="304"/>
      <c r="E36" s="4" t="s">
        <v>1</v>
      </c>
      <c r="F36" s="4" t="s">
        <v>13</v>
      </c>
    </row>
    <row r="37" spans="2:9" x14ac:dyDescent="0.4">
      <c r="B37" s="1" t="s">
        <v>2</v>
      </c>
      <c r="C37" s="298" t="s">
        <v>41</v>
      </c>
      <c r="D37" s="298"/>
      <c r="E37" s="59">
        <f>PERC_INSS</f>
        <v>20</v>
      </c>
      <c r="F37" s="58">
        <f>PERC_INSS%*(MOD_1_REMUNERACAO_12X36_NOT+SUBMOD_2_1_DEC_TERC_ADIC_FERIAS_12X36_NOT)</f>
        <v>509.15</v>
      </c>
    </row>
    <row r="38" spans="2:9" s="98" customFormat="1" x14ac:dyDescent="0.25">
      <c r="B38" s="2" t="s">
        <v>3</v>
      </c>
      <c r="C38" s="300" t="s">
        <v>43</v>
      </c>
      <c r="D38" s="300"/>
      <c r="E38" s="46">
        <f>PERC_SAL_EDUCACAO</f>
        <v>2.5</v>
      </c>
      <c r="F38" s="36">
        <f>PERC_SAL_EDUCACAO%*(MOD_1_REMUNERACAO_12X36_NOT+SUBMOD_2_1_DEC_TERC_ADIC_FERIAS_12X36_NOT)</f>
        <v>63.64</v>
      </c>
    </row>
    <row r="39" spans="2:9" s="98" customFormat="1" x14ac:dyDescent="0.25">
      <c r="B39" s="2" t="s">
        <v>4</v>
      </c>
      <c r="C39" s="275" t="s">
        <v>236</v>
      </c>
      <c r="D39" s="276"/>
      <c r="E39" s="59">
        <f>PERC_RAT</f>
        <v>6</v>
      </c>
      <c r="F39" s="58">
        <f>PERC_RAT%*(MOD_1_REMUNERACAO_12X36_NOT+SUBMOD_2_1_DEC_TERC_ADIC_FERIAS_12X36_NOT)</f>
        <v>152.75</v>
      </c>
    </row>
    <row r="40" spans="2:9" s="98" customFormat="1" x14ac:dyDescent="0.25">
      <c r="B40" s="2" t="s">
        <v>5</v>
      </c>
      <c r="C40" s="300" t="s">
        <v>88</v>
      </c>
      <c r="D40" s="300"/>
      <c r="E40" s="38">
        <f>PERC_SESC</f>
        <v>1.5</v>
      </c>
      <c r="F40" s="36">
        <f>PERC_SESC%*(MOD_1_REMUNERACAO_12X36_NOT+SUBMOD_2_1_DEC_TERC_ADIC_FERIAS_12X36_NOT)</f>
        <v>38.19</v>
      </c>
      <c r="I40" s="143"/>
    </row>
    <row r="41" spans="2:9" s="98" customFormat="1" x14ac:dyDescent="0.25">
      <c r="B41" s="2" t="s">
        <v>6</v>
      </c>
      <c r="C41" s="298" t="s">
        <v>89</v>
      </c>
      <c r="D41" s="298"/>
      <c r="E41" s="59">
        <f>PERC_SENAC</f>
        <v>1</v>
      </c>
      <c r="F41" s="58">
        <f>PERC_SENAC%*(MOD_1_REMUNERACAO_12X36_NOT+SUBMOD_2_1_DEC_TERC_ADIC_FERIAS_12X36_NOT)</f>
        <v>25.46</v>
      </c>
    </row>
    <row r="42" spans="2:9" s="99" customFormat="1" x14ac:dyDescent="0.25">
      <c r="B42" s="2" t="s">
        <v>7</v>
      </c>
      <c r="C42" s="300" t="s">
        <v>45</v>
      </c>
      <c r="D42" s="300"/>
      <c r="E42" s="46">
        <f>PERC_SEBRAE</f>
        <v>0.6</v>
      </c>
      <c r="F42" s="36">
        <f>PERC_SEBRAE%*(MOD_1_REMUNERACAO_12X36_NOT+SUBMOD_2_1_DEC_TERC_ADIC_FERIAS_12X36_NOT)</f>
        <v>15.27</v>
      </c>
    </row>
    <row r="43" spans="2:9" s="99" customFormat="1" x14ac:dyDescent="0.25">
      <c r="B43" s="2" t="s">
        <v>10</v>
      </c>
      <c r="C43" s="298" t="s">
        <v>42</v>
      </c>
      <c r="D43" s="298"/>
      <c r="E43" s="59">
        <f>PERC_INCRA</f>
        <v>0.2</v>
      </c>
      <c r="F43" s="58">
        <f>PERC_INCRA%*(MOD_1_REMUNERACAO_12X36_NOT+SUBMOD_2_1_DEC_TERC_ADIC_FERIAS_12X36_NOT)</f>
        <v>5.09</v>
      </c>
    </row>
    <row r="44" spans="2:9" x14ac:dyDescent="0.4">
      <c r="B44" s="2" t="s">
        <v>11</v>
      </c>
      <c r="C44" s="300" t="s">
        <v>44</v>
      </c>
      <c r="D44" s="300"/>
      <c r="E44" s="46">
        <f>PERC_FGTS</f>
        <v>8</v>
      </c>
      <c r="F44" s="36">
        <f>PERC_FGTS%*(MOD_1_REMUNERACAO_12X36_NOT+SUBMOD_2_1_DEC_TERC_ADIC_FERIAS_12X36_NOT)</f>
        <v>203.66</v>
      </c>
    </row>
    <row r="45" spans="2:9" x14ac:dyDescent="0.4">
      <c r="B45" s="268" t="s">
        <v>46</v>
      </c>
      <c r="C45" s="269"/>
      <c r="D45" s="269"/>
      <c r="E45" s="270"/>
      <c r="F45" s="42">
        <f>SUM(F37:F44)</f>
        <v>1013.21</v>
      </c>
    </row>
    <row r="46" spans="2:9" ht="15.75" customHeight="1" x14ac:dyDescent="0.4">
      <c r="B46" s="51" t="s">
        <v>71</v>
      </c>
      <c r="C46" s="99"/>
      <c r="D46" s="99"/>
      <c r="E46" s="99"/>
      <c r="F46" s="99"/>
    </row>
    <row r="47" spans="2:9" ht="15.75" customHeight="1" x14ac:dyDescent="0.4">
      <c r="B47" s="1" t="s">
        <v>90</v>
      </c>
      <c r="C47" s="250" t="s">
        <v>14</v>
      </c>
      <c r="D47" s="250"/>
      <c r="E47" s="250"/>
      <c r="F47" s="4" t="s">
        <v>13</v>
      </c>
    </row>
    <row r="48" spans="2:9" x14ac:dyDescent="0.4">
      <c r="B48" s="25" t="s">
        <v>2</v>
      </c>
      <c r="C48" s="298" t="s">
        <v>15</v>
      </c>
      <c r="D48" s="298"/>
      <c r="E48" s="298"/>
      <c r="F48" s="58">
        <f>IF((((3.6*2)*DIAS_TRABALHADOS_NO_MES_12X36)-(PERC_DESC_TRANSP_REMUNERACAO%*(AL_1_A_SAL_BASE_12X36_NOT/2)))&gt;0,(((3.6*2)*DIAS_TRABALHADOS_NO_MES_12X36)-(PERC_DESC_TRANSP_REMUNERACAO%*(AL_1_A_SAL_BASE_12X36_NOT/2))),0)</f>
        <v>65.97</v>
      </c>
      <c r="G48" s="145"/>
    </row>
    <row r="49" spans="2:7" s="107" customFormat="1" x14ac:dyDescent="0.4">
      <c r="B49" s="25" t="s">
        <v>3</v>
      </c>
      <c r="C49" s="300" t="s">
        <v>70</v>
      </c>
      <c r="D49" s="300"/>
      <c r="E49" s="300"/>
      <c r="F49" s="36">
        <f>ALIMENTACAO_POR_DIA*DIAS_TRABALHADOS_NO_MES_12X36*0.99</f>
        <v>386.1</v>
      </c>
      <c r="G49" s="13"/>
    </row>
    <row r="50" spans="2:7" s="107" customFormat="1" x14ac:dyDescent="0.4">
      <c r="B50" s="25" t="s">
        <v>4</v>
      </c>
      <c r="C50" s="275" t="str">
        <f>OUTROS_BENEFICIOS_1_DESCRICAO</f>
        <v>Auxílio saúde</v>
      </c>
      <c r="D50" s="276"/>
      <c r="E50" s="277"/>
      <c r="F50" s="58"/>
      <c r="G50" s="13"/>
    </row>
    <row r="51" spans="2:7" s="107" customFormat="1" x14ac:dyDescent="0.4">
      <c r="B51" s="25" t="s">
        <v>5</v>
      </c>
      <c r="C51" s="305" t="str">
        <f>OUTROS_BENEFICIOS_2_DESCRICAO</f>
        <v>Auxílio morte/funeral</v>
      </c>
      <c r="D51" s="306"/>
      <c r="E51" s="307"/>
      <c r="F51" s="36"/>
      <c r="G51" s="13"/>
    </row>
    <row r="52" spans="2:7" s="107" customFormat="1" x14ac:dyDescent="0.4">
      <c r="B52" s="25" t="s">
        <v>6</v>
      </c>
      <c r="C52" s="275" t="str">
        <f>OUTROS_BENEFICIOS_3_DESCRICAO</f>
        <v>Seguro de vida</v>
      </c>
      <c r="D52" s="276"/>
      <c r="E52" s="277"/>
      <c r="F52" s="58"/>
    </row>
    <row r="53" spans="2:7" s="107" customFormat="1" ht="15" customHeight="1" x14ac:dyDescent="0.4">
      <c r="B53" s="329" t="s">
        <v>46</v>
      </c>
      <c r="C53" s="329"/>
      <c r="D53" s="329"/>
      <c r="E53" s="329"/>
      <c r="F53" s="40">
        <f>SUM(F48:F52)</f>
        <v>452.07</v>
      </c>
    </row>
    <row r="54" spans="2:7" s="107" customFormat="1" x14ac:dyDescent="0.4">
      <c r="B54" s="51" t="s">
        <v>72</v>
      </c>
      <c r="C54" s="12"/>
      <c r="D54" s="22"/>
      <c r="E54" s="20"/>
      <c r="F54" s="20"/>
    </row>
    <row r="55" spans="2:7" s="107" customFormat="1" ht="15" customHeight="1" x14ac:dyDescent="0.4">
      <c r="B55" s="1">
        <v>3</v>
      </c>
      <c r="C55" s="260" t="s">
        <v>48</v>
      </c>
      <c r="D55" s="260"/>
      <c r="E55" s="4" t="s">
        <v>1</v>
      </c>
      <c r="F55" s="4" t="s">
        <v>13</v>
      </c>
    </row>
    <row r="56" spans="2:7" s="107" customFormat="1" x14ac:dyDescent="0.4">
      <c r="B56" s="1" t="s">
        <v>2</v>
      </c>
      <c r="C56" s="301" t="s">
        <v>49</v>
      </c>
      <c r="D56" s="301"/>
      <c r="E56" s="59">
        <f>PERC_AVISO_PREVIO_IND</f>
        <v>0.28999999999999998</v>
      </c>
      <c r="F56" s="58">
        <f>PERC_AVISO_PREVIO_IND%*(MOD_1_REMUNERACAO_12X36_NOT+SUBMOD_2_1_DEC_TERC_ADIC_FERIAS_12X36_NOT+AL_2_2_FGTS_12X36_NOT+SUBMOD_2_3_BENEFICIOS_12X36_NOT)</f>
        <v>9.2799999999999994</v>
      </c>
    </row>
    <row r="57" spans="2:7" s="107" customFormat="1" x14ac:dyDescent="0.4">
      <c r="B57" s="2" t="s">
        <v>3</v>
      </c>
      <c r="C57" s="303" t="s">
        <v>50</v>
      </c>
      <c r="D57" s="303"/>
      <c r="E57" s="46">
        <f>PERC_AVISO_PREVIO_TRAB</f>
        <v>1.1599999999999999</v>
      </c>
      <c r="F57" s="36">
        <f>PERC_AVISO_PREVIO_TRAB%*(MOD_1_REMUNERACAO_12X36_NOT+SUBMOD_2_1_DEC_TERC_ADIC_FERIAS_12X36_NOT+SUBMOD_2_2_GPS_FGTS_12X36_NOT+SUBMOD_2_3_BENEFICIOS_12X36_NOT)</f>
        <v>46.53</v>
      </c>
    </row>
    <row r="58" spans="2:7" s="98" customFormat="1" x14ac:dyDescent="0.25">
      <c r="B58" s="2" t="s">
        <v>4</v>
      </c>
      <c r="C58" s="301" t="s">
        <v>232</v>
      </c>
      <c r="D58" s="301"/>
      <c r="E58" s="59">
        <f>PERC_MULTA_FGTS_AV_PREV_TRAB</f>
        <v>0.04</v>
      </c>
      <c r="F58" s="58">
        <f>PERC_MULTA_FGTS_AV_PREV_TRAB%*(MOD_1_REMUNERACAO_12X36_NOT+SUBMOD_2_1_DEC_TERC_ADIC_FERIAS_12X36_NOT)</f>
        <v>1.02</v>
      </c>
    </row>
    <row r="59" spans="2:7" s="98" customFormat="1" x14ac:dyDescent="0.4">
      <c r="B59" s="268" t="s">
        <v>46</v>
      </c>
      <c r="C59" s="269"/>
      <c r="D59" s="269"/>
      <c r="E59" s="270"/>
      <c r="F59" s="41">
        <f>SUM(F56:F58)</f>
        <v>56.83</v>
      </c>
    </row>
    <row r="60" spans="2:7" ht="7.5" customHeight="1" x14ac:dyDescent="0.4">
      <c r="B60" s="16"/>
      <c r="C60" s="17"/>
      <c r="D60" s="18"/>
      <c r="E60" s="14"/>
      <c r="F60" s="14"/>
    </row>
    <row r="61" spans="2:7" s="98" customFormat="1" ht="15.9" customHeight="1" x14ac:dyDescent="0.4">
      <c r="B61" s="51" t="s">
        <v>73</v>
      </c>
      <c r="C61" s="12"/>
      <c r="D61" s="22"/>
      <c r="E61" s="13"/>
      <c r="F61" s="13"/>
    </row>
    <row r="62" spans="2:7" s="98" customFormat="1" ht="15.9" customHeight="1" x14ac:dyDescent="0.4">
      <c r="B62" s="51" t="s">
        <v>102</v>
      </c>
      <c r="C62" s="12"/>
      <c r="D62" s="22"/>
      <c r="E62" s="20"/>
      <c r="F62" s="20"/>
    </row>
    <row r="63" spans="2:7" s="98" customFormat="1" x14ac:dyDescent="0.25">
      <c r="B63" s="1" t="s">
        <v>18</v>
      </c>
      <c r="C63" s="302" t="s">
        <v>103</v>
      </c>
      <c r="D63" s="302"/>
      <c r="E63" s="4" t="s">
        <v>1</v>
      </c>
      <c r="F63" s="4" t="s">
        <v>13</v>
      </c>
    </row>
    <row r="64" spans="2:7" s="98" customFormat="1" ht="15.9" customHeight="1" x14ac:dyDescent="0.25">
      <c r="B64" s="2" t="s">
        <v>2</v>
      </c>
      <c r="C64" s="298" t="s">
        <v>104</v>
      </c>
      <c r="D64" s="298"/>
      <c r="E64" s="59">
        <f>PERC_SUBSTITUTO_FERIAS</f>
        <v>8.33</v>
      </c>
      <c r="F64" s="58">
        <f>PERC_SUBSTITUTO_FERIAS%*(MOD_1_REMUNERACAO_12X36_NOT+MOD_2_ENCARGOS_BENEFICIOS_12X36_NOT+MOD_3_PROVISAO_RESCISAO_12X36_NOT)</f>
        <v>338.85</v>
      </c>
    </row>
    <row r="65" spans="2:7" s="98" customFormat="1" ht="15.9" customHeight="1" x14ac:dyDescent="0.25">
      <c r="B65" s="2" t="s">
        <v>3</v>
      </c>
      <c r="C65" s="300" t="s">
        <v>105</v>
      </c>
      <c r="D65" s="300"/>
      <c r="E65" s="46">
        <f>PERC_SUBSTITUTO_AUSENCIAS_LEGAIS</f>
        <v>2.2200000000000002</v>
      </c>
      <c r="F65" s="36">
        <f>PERC_SUBSTITUTO_AUSENCIAS_LEGAIS%*(MOD_1_REMUNERACAO_12X36_NOT+MOD_2_ENCARGOS_BENEFICIOS_12X36_NOT+MOD_3_PROVISAO_RESCISAO_12X36_NOT)</f>
        <v>90.31</v>
      </c>
    </row>
    <row r="66" spans="2:7" s="98" customFormat="1" ht="15.9" customHeight="1" x14ac:dyDescent="0.25">
      <c r="B66" s="2" t="s">
        <v>4</v>
      </c>
      <c r="C66" s="298" t="s">
        <v>106</v>
      </c>
      <c r="D66" s="298"/>
      <c r="E66" s="59">
        <f>PERC_SUBSTITUTO_LICENCA_PATERNIDADE</f>
        <v>7.0000000000000007E-2</v>
      </c>
      <c r="F66" s="58">
        <f>PERC_SUBSTITUTO_LICENCA_PATERNIDADE%*(MOD_1_REMUNERACAO_12X36_NOT+MOD_2_ENCARGOS_BENEFICIOS_12X36_NOT+MOD_3_PROVISAO_RESCISAO_12X36_NOT)</f>
        <v>2.85</v>
      </c>
    </row>
    <row r="67" spans="2:7" s="98" customFormat="1" x14ac:dyDescent="0.25">
      <c r="B67" s="2" t="s">
        <v>5</v>
      </c>
      <c r="C67" s="300" t="s">
        <v>107</v>
      </c>
      <c r="D67" s="300"/>
      <c r="E67" s="46">
        <f>PERC_SUBSTITUTO_ACID_TRAB</f>
        <v>0.02</v>
      </c>
      <c r="F67" s="36">
        <f>PERC_SUBSTITUTO_ACID_TRAB%*(MOD_1_REMUNERACAO_12X36_NOT+MOD_2_ENCARGOS_BENEFICIOS_12X36_NOT+MOD_3_PROVISAO_RESCISAO_12X36_NOT)</f>
        <v>0.81</v>
      </c>
    </row>
    <row r="68" spans="2:7" s="98" customFormat="1" x14ac:dyDescent="0.25">
      <c r="B68" s="2" t="s">
        <v>6</v>
      </c>
      <c r="C68" s="298" t="s">
        <v>108</v>
      </c>
      <c r="D68" s="298"/>
      <c r="E68" s="59">
        <f>PERC_SUBSTITUTO_AFAST_MATERN</f>
        <v>0.04</v>
      </c>
      <c r="F68" s="58">
        <f>PERC_SUBSTITUTO_AFAST_MATERN%*(MOD_1_REMUNERACAO_12X36_NOT+MOD_2_ENCARGOS_BENEFICIOS_12X36_NOT+MOD_3_PROVISAO_RESCISAO_12X36_NOT)</f>
        <v>1.63</v>
      </c>
    </row>
    <row r="69" spans="2:7" s="98" customFormat="1" x14ac:dyDescent="0.25">
      <c r="B69" s="2" t="s">
        <v>7</v>
      </c>
      <c r="C69" s="325" t="str">
        <f>OUTRAS_AUSENCIAS_DESCRICAO</f>
        <v>Outras Ausências (Especificar - em %)</v>
      </c>
      <c r="D69" s="300"/>
      <c r="E69" s="53">
        <f>PERC_SUBSTITUTO_OUTRAS_AUSENCIAS</f>
        <v>0</v>
      </c>
      <c r="F69" s="36">
        <f>PERC_SUBSTITUTO_OUTRAS_AUSENCIAS%*(MOD_1_REMUNERACAO_12X36_NOT+MOD_2_ENCARGOS_BENEFICIOS_12X36_NOT+MOD_3_PROVISAO_RESCISAO_12X36_NOT)</f>
        <v>0</v>
      </c>
    </row>
    <row r="70" spans="2:7" s="98" customFormat="1" x14ac:dyDescent="0.4">
      <c r="B70" s="268" t="s">
        <v>46</v>
      </c>
      <c r="C70" s="269"/>
      <c r="D70" s="269"/>
      <c r="E70" s="270"/>
      <c r="F70" s="41">
        <f>SUM(F64:F69)</f>
        <v>434.45</v>
      </c>
    </row>
    <row r="71" spans="2:7" s="98" customFormat="1" ht="15" customHeight="1" x14ac:dyDescent="0.4">
      <c r="B71" s="51" t="s">
        <v>226</v>
      </c>
      <c r="C71" s="12"/>
      <c r="D71" s="22"/>
      <c r="E71" s="20"/>
      <c r="F71" s="20"/>
    </row>
    <row r="72" spans="2:7" s="98" customFormat="1" x14ac:dyDescent="0.25">
      <c r="B72" s="1" t="s">
        <v>19</v>
      </c>
      <c r="C72" s="260" t="s">
        <v>225</v>
      </c>
      <c r="D72" s="260"/>
      <c r="E72" s="260"/>
      <c r="F72" s="4" t="s">
        <v>13</v>
      </c>
    </row>
    <row r="73" spans="2:7" s="98" customFormat="1" ht="16.5" customHeight="1" x14ac:dyDescent="0.25">
      <c r="B73" s="1" t="s">
        <v>2</v>
      </c>
      <c r="C73" s="298" t="s">
        <v>109</v>
      </c>
      <c r="D73" s="298"/>
      <c r="E73" s="298"/>
      <c r="F73" s="57">
        <f>((MOD_1_REMUNERACAO_12X36_NOT+MOD_2_ENCARGOS_BENEFICIOS_12X36_NOT+MOD_3_PROVISAO_RESCISAO_12X36_NOT)/DIVISOR_DE_HORAS)*((TEMPO_INTERVALO_REFEICAO/HORA_NORMAL))*DIAS_TRABALHADOS_NO_MES_12X36</f>
        <v>277.35000000000002</v>
      </c>
      <c r="G73" s="141"/>
    </row>
    <row r="74" spans="2:7" s="98" customFormat="1" x14ac:dyDescent="0.4">
      <c r="B74" s="260" t="s">
        <v>46</v>
      </c>
      <c r="C74" s="260"/>
      <c r="D74" s="260"/>
      <c r="E74" s="260"/>
      <c r="F74" s="41">
        <f>SUM(F73:F73)</f>
        <v>277.35000000000002</v>
      </c>
    </row>
    <row r="75" spans="2:7" ht="7.5" customHeight="1" x14ac:dyDescent="0.4">
      <c r="B75" s="16"/>
      <c r="C75" s="17"/>
      <c r="D75" s="18"/>
      <c r="E75" s="14"/>
      <c r="F75" s="14"/>
    </row>
    <row r="76" spans="2:7" x14ac:dyDescent="0.4">
      <c r="B76" s="51" t="s">
        <v>77</v>
      </c>
      <c r="C76" s="12"/>
      <c r="D76" s="12"/>
      <c r="E76" s="20"/>
      <c r="F76" s="20"/>
    </row>
    <row r="77" spans="2:7" ht="15.75" customHeight="1" x14ac:dyDescent="0.4">
      <c r="B77" s="49">
        <v>5</v>
      </c>
      <c r="C77" s="271" t="s">
        <v>0</v>
      </c>
      <c r="D77" s="271"/>
      <c r="E77" s="271"/>
      <c r="F77" s="50" t="s">
        <v>13</v>
      </c>
    </row>
    <row r="78" spans="2:7" x14ac:dyDescent="0.4">
      <c r="B78" s="44" t="s">
        <v>2</v>
      </c>
      <c r="C78" s="272" t="s">
        <v>16</v>
      </c>
      <c r="D78" s="272"/>
      <c r="E78" s="272"/>
      <c r="F78" s="60">
        <f>UNIFORMES</f>
        <v>244.71</v>
      </c>
    </row>
    <row r="79" spans="2:7" x14ac:dyDescent="0.4">
      <c r="B79" s="44" t="s">
        <v>3</v>
      </c>
      <c r="C79" s="273" t="s">
        <v>285</v>
      </c>
      <c r="D79" s="273"/>
      <c r="E79" s="273"/>
      <c r="F79" s="47">
        <f>MATERIAIS</f>
        <v>77.400000000000006</v>
      </c>
    </row>
    <row r="80" spans="2:7" x14ac:dyDescent="0.4">
      <c r="B80" s="44" t="s">
        <v>4</v>
      </c>
      <c r="C80" s="272" t="s">
        <v>286</v>
      </c>
      <c r="D80" s="272"/>
      <c r="E80" s="272"/>
      <c r="F80" s="60">
        <f>EQUIPAMENTOS</f>
        <v>8.09</v>
      </c>
    </row>
    <row r="81" spans="2:6" x14ac:dyDescent="0.4">
      <c r="B81" s="44" t="s">
        <v>5</v>
      </c>
      <c r="C81" s="324" t="str">
        <f>OUTROS_INSUMOS_DESCRICAO</f>
        <v>Outros (Especificar)</v>
      </c>
      <c r="D81" s="273"/>
      <c r="E81" s="273"/>
      <c r="F81" s="47">
        <f>OUTROS_INSUMOS</f>
        <v>0</v>
      </c>
    </row>
    <row r="82" spans="2:6" x14ac:dyDescent="0.4">
      <c r="B82" s="328" t="s">
        <v>46</v>
      </c>
      <c r="C82" s="328"/>
      <c r="D82" s="328"/>
      <c r="E82" s="328"/>
      <c r="F82" s="43">
        <f>SUM(F78:F81)</f>
        <v>330.2</v>
      </c>
    </row>
    <row r="83" spans="2:6" ht="7.5" customHeight="1" x14ac:dyDescent="0.4">
      <c r="B83" s="16"/>
      <c r="C83" s="17"/>
      <c r="D83" s="18"/>
      <c r="E83" s="14"/>
      <c r="F83" s="14"/>
    </row>
    <row r="84" spans="2:6" ht="15" customHeight="1" x14ac:dyDescent="0.4">
      <c r="B84" s="264" t="s">
        <v>76</v>
      </c>
      <c r="C84" s="264"/>
      <c r="D84" s="264"/>
      <c r="E84" s="264"/>
      <c r="F84" s="264"/>
    </row>
    <row r="85" spans="2:6" x14ac:dyDescent="0.4">
      <c r="B85" s="1">
        <v>6</v>
      </c>
      <c r="C85" s="260" t="s">
        <v>20</v>
      </c>
      <c r="D85" s="260"/>
      <c r="E85" s="4" t="s">
        <v>1</v>
      </c>
      <c r="F85" s="4" t="s">
        <v>13</v>
      </c>
    </row>
    <row r="86" spans="2:6" x14ac:dyDescent="0.4">
      <c r="B86" s="1" t="s">
        <v>2</v>
      </c>
      <c r="C86" s="298" t="s">
        <v>78</v>
      </c>
      <c r="D86" s="298"/>
      <c r="E86" s="61">
        <f>PERC_CUSTOS_INDIRETOS</f>
        <v>4.8499999999999996</v>
      </c>
      <c r="F86" s="58">
        <f>PERC_CUSTOS_INDIRETOS%*(MOD_1_REMUNERACAO_12X36_NOT+MOD_2_ENCARGOS_BENEFICIOS_12X36_NOT+MOD_3_PROVISAO_RESCISAO_12X36_NOT+MOD_4_CUSTO_REPOSICAO_12X36_NOT+MOD_5_INSUMOS_12X36_NOT)</f>
        <v>247.83</v>
      </c>
    </row>
    <row r="87" spans="2:6" ht="15.75" customHeight="1" x14ac:dyDescent="0.4">
      <c r="B87" s="2" t="s">
        <v>3</v>
      </c>
      <c r="C87" s="300" t="s">
        <v>32</v>
      </c>
      <c r="D87" s="300"/>
      <c r="E87" s="48">
        <f>PERC_LUCRO</f>
        <v>5.45</v>
      </c>
      <c r="F87" s="36">
        <f>PERC_LUCRO%*(MOD_1_REMUNERACAO_12X36_NOT+MOD_2_ENCARGOS_BENEFICIOS_12X36_NOT+MOD_3_PROVISAO_RESCISAO_12X36_NOT+MOD_4_CUSTO_REPOSICAO_12X36_NOT+MOD_5_INSUMOS_12X36_NOT+AL_6_A_CUSTOS_INDIRETOS_12X36_NOT)</f>
        <v>291.99</v>
      </c>
    </row>
    <row r="88" spans="2:6" x14ac:dyDescent="0.4">
      <c r="B88" s="2" t="s">
        <v>4</v>
      </c>
      <c r="C88" s="298" t="s">
        <v>21</v>
      </c>
      <c r="D88" s="298"/>
      <c r="E88" s="61">
        <f>SUM(E89:E91)</f>
        <v>8.65</v>
      </c>
      <c r="F88" s="58">
        <f>SUM(F89:F91)</f>
        <v>534.97</v>
      </c>
    </row>
    <row r="89" spans="2:6" ht="15.75" customHeight="1" x14ac:dyDescent="0.4">
      <c r="B89" s="30" t="s">
        <v>79</v>
      </c>
      <c r="C89" s="326" t="s">
        <v>23</v>
      </c>
      <c r="D89" s="326"/>
      <c r="E89" s="31">
        <f>PERC_PIS</f>
        <v>0.65</v>
      </c>
      <c r="F89" s="63">
        <f>((MOD_1_REMUNERACAO_12X36_NOT+MOD_2_ENCARGOS_BENEFICIOS_12X36_NOT+MOD_3_PROVISAO_RESCISAO_12X36_NOT+MOD_4_CUSTO_REPOSICAO_12X36_NOT+MOD_5_INSUMOS_12X36_NOT+AL_6_A_CUSTOS_INDIRETOS_12X36_NOT+AL_6_B_LUCRO_12X36_NOT)*PERC_PIS%)/(1-PERC_TRIBUTOS%)</f>
        <v>40.200000000000003</v>
      </c>
    </row>
    <row r="90" spans="2:6" x14ac:dyDescent="0.4">
      <c r="B90" s="30" t="s">
        <v>80</v>
      </c>
      <c r="C90" s="327" t="s">
        <v>24</v>
      </c>
      <c r="D90" s="327"/>
      <c r="E90" s="62">
        <f>PERC_COFINS</f>
        <v>3</v>
      </c>
      <c r="F90" s="64">
        <f>((MOD_1_REMUNERACAO_12X36_NOT+MOD_2_ENCARGOS_BENEFICIOS_12X36_NOT+MOD_3_PROVISAO_RESCISAO_12X36_NOT+MOD_4_CUSTO_REPOSICAO_12X36_NOT+MOD_5_INSUMOS_12X36_NOT+AL_6_A_CUSTOS_INDIRETOS_12X36_NOT+AL_6_B_LUCRO_12X36_NOT)*PERC_COFINS%)/(1-PERC_TRIBUTOS%)</f>
        <v>185.54</v>
      </c>
    </row>
    <row r="91" spans="2:6" s="108" customFormat="1" x14ac:dyDescent="0.4">
      <c r="B91" s="30" t="s">
        <v>81</v>
      </c>
      <c r="C91" s="326" t="s">
        <v>25</v>
      </c>
      <c r="D91" s="326"/>
      <c r="E91" s="31">
        <f>PERC_ISS</f>
        <v>5</v>
      </c>
      <c r="F91" s="63">
        <f>((MOD_1_REMUNERACAO_12X36_NOT+MOD_2_ENCARGOS_BENEFICIOS_12X36_NOT+MOD_3_PROVISAO_RESCISAO_12X36_NOT+MOD_4_CUSTO_REPOSICAO_12X36_NOT+MOD_5_INSUMOS_12X36_NOT+AL_6_A_CUSTOS_INDIRETOS_12X36_NOT+AL_6_B_LUCRO_12X36_NOT)*PERC_ISS%)/(1-PERC_TRIBUTOS%)</f>
        <v>309.23</v>
      </c>
    </row>
    <row r="92" spans="2:6" s="108" customFormat="1" x14ac:dyDescent="0.4">
      <c r="B92" s="268" t="s">
        <v>46</v>
      </c>
      <c r="C92" s="269"/>
      <c r="D92" s="269"/>
      <c r="E92" s="270"/>
      <c r="F92" s="37">
        <f>AL_6_A_CUSTOS_INDIRETOS_12X36_NOT+AL_6_B_LUCRO_12X36_NOT+AL_6_C_TRIBUTOS_12X36_NOT</f>
        <v>1074.79</v>
      </c>
    </row>
    <row r="93" spans="2:6" s="108" customFormat="1" x14ac:dyDescent="0.4">
      <c r="B93" s="264" t="s">
        <v>261</v>
      </c>
      <c r="C93" s="264"/>
      <c r="D93" s="264"/>
      <c r="E93" s="264"/>
      <c r="F93" s="264"/>
    </row>
    <row r="94" spans="2:6" s="108" customFormat="1" x14ac:dyDescent="0.4">
      <c r="B94" s="147" t="s">
        <v>2</v>
      </c>
      <c r="C94" s="275" t="str">
        <f>'INSERÇÃO-DE-DADOS'!C86:E86</f>
        <v>Dia do Vigilante - Clausula 82ª CCT - Jornada 12x36 noturno</v>
      </c>
      <c r="D94" s="276"/>
      <c r="E94" s="277"/>
      <c r="F94" s="57">
        <f>'INSERÇÃO-DE-DADOS'!F86</f>
        <v>11.69</v>
      </c>
    </row>
    <row r="95" spans="2:6" s="108" customFormat="1" ht="20.399999999999999" x14ac:dyDescent="0.4">
      <c r="B95" s="52" t="s">
        <v>53</v>
      </c>
      <c r="C95" s="15"/>
      <c r="D95" s="15"/>
      <c r="E95" s="15"/>
      <c r="F95" s="23"/>
    </row>
    <row r="96" spans="2:6" s="109" customFormat="1" ht="16.5" customHeight="1" x14ac:dyDescent="0.4">
      <c r="B96" s="2" t="s">
        <v>98</v>
      </c>
      <c r="C96" s="257" t="s">
        <v>99</v>
      </c>
      <c r="D96" s="258"/>
      <c r="E96" s="259"/>
      <c r="F96" s="4" t="s">
        <v>17</v>
      </c>
    </row>
    <row r="97" spans="2:6" s="108" customFormat="1" x14ac:dyDescent="0.4">
      <c r="B97" s="1">
        <v>1</v>
      </c>
      <c r="C97" s="298" t="s">
        <v>9</v>
      </c>
      <c r="D97" s="298"/>
      <c r="E97" s="298"/>
      <c r="F97" s="58">
        <f>MOD_1_REMUNERACAO_12X36_NOT</f>
        <v>2291.19</v>
      </c>
    </row>
    <row r="98" spans="2:6" s="110" customFormat="1" ht="16.5" customHeight="1" x14ac:dyDescent="0.4">
      <c r="B98" s="2">
        <v>2</v>
      </c>
      <c r="C98" s="300" t="s">
        <v>100</v>
      </c>
      <c r="D98" s="300"/>
      <c r="E98" s="300"/>
      <c r="F98" s="36">
        <f>MOD_2_ENCARGOS_BENEFICIOS_12X36_NOT</f>
        <v>1719.84</v>
      </c>
    </row>
    <row r="99" spans="2:6" s="110" customFormat="1" x14ac:dyDescent="0.4">
      <c r="B99" s="2">
        <v>3</v>
      </c>
      <c r="C99" s="298" t="s">
        <v>48</v>
      </c>
      <c r="D99" s="298"/>
      <c r="E99" s="298"/>
      <c r="F99" s="58">
        <f>MOD_3_PROVISAO_RESCISAO_12X36_NOT</f>
        <v>56.83</v>
      </c>
    </row>
    <row r="100" spans="2:6" s="110" customFormat="1" x14ac:dyDescent="0.4">
      <c r="B100" s="2">
        <v>4</v>
      </c>
      <c r="C100" s="300" t="s">
        <v>51</v>
      </c>
      <c r="D100" s="300"/>
      <c r="E100" s="300"/>
      <c r="F100" s="36">
        <f>MOD_4_CUSTO_REPOSICAO_12X36_NOT</f>
        <v>711.8</v>
      </c>
    </row>
    <row r="101" spans="2:6" s="110" customFormat="1" x14ac:dyDescent="0.4">
      <c r="B101" s="2">
        <v>5</v>
      </c>
      <c r="C101" s="298" t="s">
        <v>0</v>
      </c>
      <c r="D101" s="298"/>
      <c r="E101" s="298"/>
      <c r="F101" s="58">
        <f>MOD_5_INSUMOS_12X36_NOT</f>
        <v>330.2</v>
      </c>
    </row>
    <row r="102" spans="2:6" s="110" customFormat="1" x14ac:dyDescent="0.4">
      <c r="B102" s="2">
        <v>6</v>
      </c>
      <c r="C102" s="300" t="s">
        <v>20</v>
      </c>
      <c r="D102" s="300"/>
      <c r="E102" s="300"/>
      <c r="F102" s="36">
        <f>MOD_6_CUSTOS_IND_LUCRO_TRIB_12X36_NOT</f>
        <v>1074.79</v>
      </c>
    </row>
    <row r="103" spans="2:6" s="110" customFormat="1" ht="33.6" x14ac:dyDescent="0.4">
      <c r="B103" s="2">
        <v>7</v>
      </c>
      <c r="C103" s="149" t="str">
        <f>C94</f>
        <v>Dia do Vigilante - Clausula 82ª CCT - Jornada 12x36 noturno</v>
      </c>
      <c r="D103" s="146"/>
      <c r="E103" s="146"/>
      <c r="F103" s="36">
        <f>F94</f>
        <v>11.69</v>
      </c>
    </row>
    <row r="104" spans="2:6" ht="16.5" customHeight="1" x14ac:dyDescent="0.4">
      <c r="B104" s="302" t="s">
        <v>101</v>
      </c>
      <c r="C104" s="302"/>
      <c r="D104" s="302"/>
      <c r="E104" s="302"/>
      <c r="F104" s="37">
        <f>SUM(F97:F103)</f>
        <v>6196.34</v>
      </c>
    </row>
    <row r="105" spans="2:6" ht="16.5" customHeight="1" x14ac:dyDescent="0.4">
      <c r="B105" s="302" t="s">
        <v>30</v>
      </c>
      <c r="C105" s="302"/>
      <c r="D105" s="302"/>
      <c r="E105" s="302"/>
      <c r="F105" s="37">
        <f>VALOR_TOTAL_EMPREGADO_12x36_NOT*EMPREG_POR_POSTO_12X36_NOT</f>
        <v>12392.68</v>
      </c>
    </row>
  </sheetData>
  <mergeCells count="93">
    <mergeCell ref="B93:F93"/>
    <mergeCell ref="C94:E94"/>
    <mergeCell ref="C102:E102"/>
    <mergeCell ref="B104:E104"/>
    <mergeCell ref="B105:E105"/>
    <mergeCell ref="C96:E96"/>
    <mergeCell ref="C97:E97"/>
    <mergeCell ref="C98:E98"/>
    <mergeCell ref="C99:E99"/>
    <mergeCell ref="C100:E100"/>
    <mergeCell ref="C101:E101"/>
    <mergeCell ref="B92:E92"/>
    <mergeCell ref="C80:E80"/>
    <mergeCell ref="C81:E81"/>
    <mergeCell ref="B82:E82"/>
    <mergeCell ref="B84:F84"/>
    <mergeCell ref="C85:D85"/>
    <mergeCell ref="C86:D86"/>
    <mergeCell ref="C87:D87"/>
    <mergeCell ref="C88:D88"/>
    <mergeCell ref="C89:D89"/>
    <mergeCell ref="C90:D90"/>
    <mergeCell ref="C91:D91"/>
    <mergeCell ref="C79:E79"/>
    <mergeCell ref="C66:D66"/>
    <mergeCell ref="C67:D67"/>
    <mergeCell ref="C68:D68"/>
    <mergeCell ref="C69:D69"/>
    <mergeCell ref="B70:E70"/>
    <mergeCell ref="C72:E72"/>
    <mergeCell ref="C73:E73"/>
    <mergeCell ref="B74:E74"/>
    <mergeCell ref="C77:E77"/>
    <mergeCell ref="C78:E78"/>
    <mergeCell ref="C65:D65"/>
    <mergeCell ref="C50:E50"/>
    <mergeCell ref="C51:E51"/>
    <mergeCell ref="C52:E52"/>
    <mergeCell ref="B53:E53"/>
    <mergeCell ref="C55:D55"/>
    <mergeCell ref="C56:D56"/>
    <mergeCell ref="C57:D57"/>
    <mergeCell ref="C58:D58"/>
    <mergeCell ref="B59:E59"/>
    <mergeCell ref="C63:D63"/>
    <mergeCell ref="C64:D64"/>
    <mergeCell ref="C49:E49"/>
    <mergeCell ref="C37:D37"/>
    <mergeCell ref="C38:D38"/>
    <mergeCell ref="C39:D39"/>
    <mergeCell ref="C40:D40"/>
    <mergeCell ref="C41:D41"/>
    <mergeCell ref="C42:D42"/>
    <mergeCell ref="C43:D43"/>
    <mergeCell ref="C44:D44"/>
    <mergeCell ref="B45:E45"/>
    <mergeCell ref="C47:E47"/>
    <mergeCell ref="C48:E48"/>
    <mergeCell ref="C36:D36"/>
    <mergeCell ref="C24:E24"/>
    <mergeCell ref="C25:E25"/>
    <mergeCell ref="C26:E26"/>
    <mergeCell ref="C27:E27"/>
    <mergeCell ref="B28:E28"/>
    <mergeCell ref="C31:D31"/>
    <mergeCell ref="C32:D32"/>
    <mergeCell ref="C33:D33"/>
    <mergeCell ref="B34:E34"/>
    <mergeCell ref="B35:F35"/>
    <mergeCell ref="C23:E23"/>
    <mergeCell ref="C11:E11"/>
    <mergeCell ref="C12:E12"/>
    <mergeCell ref="C14:D14"/>
    <mergeCell ref="E14:F14"/>
    <mergeCell ref="D15:F15"/>
    <mergeCell ref="D16:F16"/>
    <mergeCell ref="C17:E17"/>
    <mergeCell ref="B18:F18"/>
    <mergeCell ref="B19:E19"/>
    <mergeCell ref="C21:E21"/>
    <mergeCell ref="C22:E22"/>
    <mergeCell ref="C10:E10"/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05"/>
  <sheetViews>
    <sheetView topLeftCell="A69" zoomScaleNormal="100" zoomScaleSheetLayoutView="100" workbookViewId="0">
      <selection activeCell="F79" sqref="F79"/>
    </sheetView>
  </sheetViews>
  <sheetFormatPr defaultColWidth="9.109375" defaultRowHeight="16.8" x14ac:dyDescent="0.4"/>
  <cols>
    <col min="1" max="1" width="2.6640625" style="13" customWidth="1"/>
    <col min="2" max="2" width="8.88671875" style="13" customWidth="1"/>
    <col min="3" max="3" width="52.5546875" style="19" customWidth="1"/>
    <col min="4" max="4" width="7.88671875" style="19" customWidth="1"/>
    <col min="5" max="5" width="13.5546875" style="19" customWidth="1"/>
    <col min="6" max="6" width="15.44140625" style="19" bestFit="1" customWidth="1"/>
    <col min="7" max="7" width="15.44140625" style="13" customWidth="1"/>
    <col min="8" max="8" width="65.33203125" style="13" customWidth="1"/>
    <col min="9" max="10" width="12.5546875" style="13" bestFit="1" customWidth="1"/>
    <col min="11" max="16384" width="9.109375" style="13"/>
  </cols>
  <sheetData>
    <row r="1" spans="2:6" ht="20.399999999999999" x14ac:dyDescent="0.45">
      <c r="B1" s="313" t="str">
        <f>RAMO</f>
        <v>RAMO: MINISTÉRIO PÚBLIC FEDERAL</v>
      </c>
      <c r="C1" s="314"/>
      <c r="D1" s="314"/>
      <c r="E1" s="314"/>
      <c r="F1" s="315"/>
    </row>
    <row r="2" spans="2:6" ht="20.399999999999999" x14ac:dyDescent="0.45">
      <c r="B2" s="316" t="str">
        <f>UG</f>
        <v>UNIDADE GESTORA (SIGLA): PR-PA</v>
      </c>
      <c r="C2" s="317"/>
      <c r="D2" s="318"/>
      <c r="E2" s="113" t="s">
        <v>57</v>
      </c>
      <c r="F2" s="114" t="str">
        <f>DATA_DO_ORCAMENTO_ESTIMATIVO</f>
        <v>XX/XX/20XX</v>
      </c>
    </row>
    <row r="3" spans="2:6" s="98" customFormat="1" ht="24.6" x14ac:dyDescent="0.55000000000000004">
      <c r="B3" s="281" t="s">
        <v>54</v>
      </c>
      <c r="C3" s="281"/>
      <c r="D3" s="281"/>
      <c r="E3" s="281"/>
      <c r="F3" s="281"/>
    </row>
    <row r="4" spans="2:6" s="98" customFormat="1" ht="15.9" customHeight="1" x14ac:dyDescent="0.4">
      <c r="B4" s="282" t="s">
        <v>97</v>
      </c>
      <c r="C4" s="282"/>
      <c r="D4" s="282"/>
      <c r="E4" s="282"/>
      <c r="F4" s="282"/>
    </row>
    <row r="5" spans="2:6" s="98" customFormat="1" ht="15.9" customHeight="1" x14ac:dyDescent="0.4">
      <c r="B5" s="285" t="s">
        <v>223</v>
      </c>
      <c r="C5" s="285"/>
      <c r="D5" s="319" t="str">
        <f>NUMERO_PROCESSO</f>
        <v>1.23.000.000855/2020-32</v>
      </c>
      <c r="E5" s="319"/>
      <c r="F5" s="319"/>
    </row>
    <row r="6" spans="2:6" s="98" customFormat="1" ht="15.75" customHeight="1" x14ac:dyDescent="0.4">
      <c r="B6" s="289" t="s">
        <v>224</v>
      </c>
      <c r="C6" s="289"/>
      <c r="D6" s="320" t="str">
        <f>MODALIDADE_DE_LICITACAO</f>
        <v>Pregão nº</v>
      </c>
      <c r="E6" s="320"/>
      <c r="F6" s="118" t="str">
        <f>NUMERO_PREGAO</f>
        <v>XX/20XX</v>
      </c>
    </row>
    <row r="7" spans="2:6" s="99" customFormat="1" ht="15.75" customHeight="1" x14ac:dyDescent="0.45">
      <c r="B7" s="321" t="s">
        <v>58</v>
      </c>
      <c r="C7" s="321"/>
      <c r="D7" s="321"/>
      <c r="E7" s="321"/>
      <c r="F7" s="321"/>
    </row>
    <row r="8" spans="2:6" s="98" customFormat="1" ht="18" customHeight="1" x14ac:dyDescent="0.4">
      <c r="B8" s="25" t="s">
        <v>2</v>
      </c>
      <c r="C8" s="285" t="s">
        <v>63</v>
      </c>
      <c r="D8" s="285"/>
      <c r="E8" s="285"/>
      <c r="F8" s="119" t="str">
        <f>DATA_APRESENTACAO_PROPOSTA</f>
        <v>XX/XX/20XX</v>
      </c>
    </row>
    <row r="9" spans="2:6" s="98" customFormat="1" ht="15.9" customHeight="1" x14ac:dyDescent="0.25">
      <c r="B9" s="1" t="s">
        <v>3</v>
      </c>
      <c r="C9" s="67" t="s">
        <v>36</v>
      </c>
      <c r="D9" s="311" t="s">
        <v>269</v>
      </c>
      <c r="E9" s="311"/>
      <c r="F9" s="311"/>
    </row>
    <row r="10" spans="2:6" s="98" customFormat="1" ht="18.75" customHeight="1" x14ac:dyDescent="0.4">
      <c r="B10" s="25" t="s">
        <v>4</v>
      </c>
      <c r="C10" s="285" t="s">
        <v>37</v>
      </c>
      <c r="D10" s="285"/>
      <c r="E10" s="285"/>
      <c r="F10" s="120" t="str">
        <f>ACORDO_COLETIVO</f>
        <v>CCT 2020/2021</v>
      </c>
    </row>
    <row r="11" spans="2:6" s="98" customFormat="1" ht="15.9" customHeight="1" x14ac:dyDescent="0.4">
      <c r="B11" s="1" t="s">
        <v>5</v>
      </c>
      <c r="C11" s="311" t="s">
        <v>64</v>
      </c>
      <c r="D11" s="311"/>
      <c r="E11" s="311"/>
      <c r="F11" s="121">
        <f>NUMERO_MESES_EXEC_CONTRATUAL</f>
        <v>12</v>
      </c>
    </row>
    <row r="12" spans="2:6" s="98" customFormat="1" x14ac:dyDescent="0.4">
      <c r="B12" s="1" t="s">
        <v>6</v>
      </c>
      <c r="C12" s="312" t="s">
        <v>85</v>
      </c>
      <c r="D12" s="312"/>
      <c r="E12" s="312"/>
      <c r="F12" s="102">
        <v>2</v>
      </c>
    </row>
    <row r="13" spans="2:6" s="98" customFormat="1" ht="7.5" customHeight="1" x14ac:dyDescent="0.4">
      <c r="B13" s="122"/>
      <c r="C13" s="123"/>
      <c r="D13" s="123"/>
      <c r="E13" s="123"/>
      <c r="F13" s="104"/>
    </row>
    <row r="14" spans="2:6" s="98" customFormat="1" ht="21" customHeight="1" x14ac:dyDescent="0.55000000000000004">
      <c r="B14" s="106" t="s">
        <v>205</v>
      </c>
      <c r="C14" s="13"/>
      <c r="D14" s="13"/>
      <c r="E14" s="13"/>
      <c r="F14" s="13"/>
    </row>
    <row r="15" spans="2:6" s="98" customFormat="1" x14ac:dyDescent="0.4">
      <c r="B15" s="25">
        <v>1</v>
      </c>
      <c r="C15" s="243" t="s">
        <v>60</v>
      </c>
      <c r="D15" s="243"/>
      <c r="E15" s="247" t="str">
        <f>TIPO_DE_SERVICO</f>
        <v>Vigilância</v>
      </c>
      <c r="F15" s="247"/>
    </row>
    <row r="16" spans="2:6" s="99" customFormat="1" x14ac:dyDescent="0.4">
      <c r="B16" s="25">
        <v>2</v>
      </c>
      <c r="C16" s="27" t="s">
        <v>59</v>
      </c>
      <c r="D16" s="246" t="str">
        <f>CBO</f>
        <v>5173-30</v>
      </c>
      <c r="E16" s="246"/>
      <c r="F16" s="246"/>
    </row>
    <row r="17" spans="2:6" s="98" customFormat="1" ht="15" customHeight="1" x14ac:dyDescent="0.4">
      <c r="B17" s="25">
        <v>3</v>
      </c>
      <c r="C17" s="56" t="s">
        <v>61</v>
      </c>
      <c r="D17" s="247" t="str">
        <f>CATEGORIA_PROFISSIONAL</f>
        <v>Vigilante</v>
      </c>
      <c r="E17" s="247"/>
      <c r="F17" s="247"/>
    </row>
    <row r="18" spans="2:6" s="98" customFormat="1" ht="15" customHeight="1" x14ac:dyDescent="0.4">
      <c r="B18" s="25">
        <v>4</v>
      </c>
      <c r="C18" s="248" t="s">
        <v>62</v>
      </c>
      <c r="D18" s="248"/>
      <c r="E18" s="248"/>
      <c r="F18" s="135">
        <f>DATA_BASE_CATEGORIA</f>
        <v>43831</v>
      </c>
    </row>
    <row r="19" spans="2:6" s="98" customFormat="1" ht="15" customHeight="1" x14ac:dyDescent="0.4">
      <c r="B19" s="28"/>
      <c r="C19" s="29"/>
      <c r="D19" s="29"/>
      <c r="E19" s="29"/>
      <c r="F19" s="105"/>
    </row>
    <row r="20" spans="2:6" s="124" customFormat="1" ht="30" customHeight="1" x14ac:dyDescent="0.4">
      <c r="B20" s="322" t="s">
        <v>40</v>
      </c>
      <c r="C20" s="322"/>
      <c r="D20" s="322"/>
      <c r="E20" s="322"/>
      <c r="F20" s="322"/>
    </row>
    <row r="21" spans="2:6" x14ac:dyDescent="0.4">
      <c r="B21" s="260" t="s">
        <v>52</v>
      </c>
      <c r="C21" s="260"/>
      <c r="D21" s="260"/>
      <c r="E21" s="260"/>
      <c r="F21" s="117">
        <v>2</v>
      </c>
    </row>
    <row r="22" spans="2:6" x14ac:dyDescent="0.4">
      <c r="B22" s="51" t="s">
        <v>8</v>
      </c>
      <c r="E22" s="14"/>
      <c r="F22" s="14"/>
    </row>
    <row r="23" spans="2:6" x14ac:dyDescent="0.4">
      <c r="B23" s="1">
        <v>1</v>
      </c>
      <c r="C23" s="244" t="s">
        <v>9</v>
      </c>
      <c r="D23" s="323"/>
      <c r="E23" s="245"/>
      <c r="F23" s="4" t="s">
        <v>13</v>
      </c>
    </row>
    <row r="24" spans="2:6" x14ac:dyDescent="0.4">
      <c r="B24" s="1" t="s">
        <v>2</v>
      </c>
      <c r="C24" s="275" t="s">
        <v>92</v>
      </c>
      <c r="D24" s="276"/>
      <c r="E24" s="277"/>
      <c r="F24" s="57">
        <f>SALARIO_BASE</f>
        <v>1401.07</v>
      </c>
    </row>
    <row r="25" spans="2:6" x14ac:dyDescent="0.4">
      <c r="B25" s="1" t="s">
        <v>3</v>
      </c>
      <c r="C25" s="251" t="s">
        <v>94</v>
      </c>
      <c r="D25" s="252"/>
      <c r="E25" s="253"/>
      <c r="F25" s="10">
        <f>PERC_ADIC_PERIC%*SALARIO_BASE</f>
        <v>420.32</v>
      </c>
    </row>
    <row r="26" spans="2:6" x14ac:dyDescent="0.4">
      <c r="B26" s="1" t="s">
        <v>4</v>
      </c>
      <c r="C26" s="305" t="str">
        <f>OUTROS_REMUNERACAO_1_DESCRICAO</f>
        <v>DSR - Adicional noturno - 1/6</v>
      </c>
      <c r="D26" s="306"/>
      <c r="E26" s="307"/>
      <c r="F26" s="57">
        <v>0</v>
      </c>
    </row>
    <row r="27" spans="2:6" x14ac:dyDescent="0.4">
      <c r="B27" s="1" t="s">
        <v>5</v>
      </c>
      <c r="C27" s="305" t="str">
        <f>OUTROS_REMUNERACAO_2_DESCRICAO</f>
        <v>DSR - Hora noturna reduzida - 1/6</v>
      </c>
      <c r="D27" s="306"/>
      <c r="E27" s="307"/>
      <c r="F27" s="10">
        <f>OUTROS_REMUNERACAO_2</f>
        <v>0</v>
      </c>
    </row>
    <row r="28" spans="2:6" x14ac:dyDescent="0.4">
      <c r="B28" s="268" t="s">
        <v>46</v>
      </c>
      <c r="C28" s="269"/>
      <c r="D28" s="269"/>
      <c r="E28" s="270"/>
      <c r="F28" s="40">
        <f>SUM(F24:F27)</f>
        <v>1821.39</v>
      </c>
    </row>
    <row r="29" spans="2:6" x14ac:dyDescent="0.4">
      <c r="B29" s="51" t="s">
        <v>65</v>
      </c>
      <c r="E29" s="21"/>
      <c r="F29" s="21"/>
    </row>
    <row r="30" spans="2:6" x14ac:dyDescent="0.4">
      <c r="B30" s="51" t="s">
        <v>110</v>
      </c>
      <c r="C30" s="12"/>
      <c r="D30" s="22"/>
      <c r="E30" s="20"/>
      <c r="F30" s="20"/>
    </row>
    <row r="31" spans="2:6" x14ac:dyDescent="0.4">
      <c r="B31" s="1" t="s">
        <v>66</v>
      </c>
      <c r="C31" s="268" t="s">
        <v>93</v>
      </c>
      <c r="D31" s="270"/>
      <c r="E31" s="4" t="s">
        <v>1</v>
      </c>
      <c r="F31" s="4" t="s">
        <v>13</v>
      </c>
    </row>
    <row r="32" spans="2:6" x14ac:dyDescent="0.4">
      <c r="B32" s="1" t="s">
        <v>2</v>
      </c>
      <c r="C32" s="275" t="s">
        <v>47</v>
      </c>
      <c r="D32" s="276"/>
      <c r="E32" s="59">
        <f>PERC_DEC_TERC</f>
        <v>8.33</v>
      </c>
      <c r="F32" s="58">
        <f>PERC_DEC_TERC%*MOD_1_REMUNERACAO_12X36_DIU</f>
        <v>151.72</v>
      </c>
    </row>
    <row r="33" spans="2:8" s="17" customFormat="1" x14ac:dyDescent="0.4">
      <c r="B33" s="2" t="s">
        <v>3</v>
      </c>
      <c r="C33" s="251" t="s">
        <v>95</v>
      </c>
      <c r="D33" s="253"/>
      <c r="E33" s="38">
        <f>PERC_ADIC_FERIAS</f>
        <v>2.78</v>
      </c>
      <c r="F33" s="36">
        <f>PERC_ADIC_FERIAS%*MOD_1_REMUNERACAO_12X36_DIU</f>
        <v>50.63</v>
      </c>
    </row>
    <row r="34" spans="2:8" s="107" customFormat="1" x14ac:dyDescent="0.4">
      <c r="B34" s="268" t="s">
        <v>46</v>
      </c>
      <c r="C34" s="269"/>
      <c r="D34" s="269"/>
      <c r="E34" s="270"/>
      <c r="F34" s="41">
        <f>SUM(F32:F33)</f>
        <v>202.35</v>
      </c>
    </row>
    <row r="35" spans="2:8" s="107" customFormat="1" ht="31.5" customHeight="1" x14ac:dyDescent="0.4">
      <c r="B35" s="308" t="s">
        <v>68</v>
      </c>
      <c r="C35" s="308"/>
      <c r="D35" s="308"/>
      <c r="E35" s="308"/>
      <c r="F35" s="308"/>
    </row>
    <row r="36" spans="2:8" s="107" customFormat="1" ht="34.5" customHeight="1" x14ac:dyDescent="0.4">
      <c r="B36" s="1" t="s">
        <v>69</v>
      </c>
      <c r="C36" s="309" t="s">
        <v>96</v>
      </c>
      <c r="D36" s="310"/>
      <c r="E36" s="4" t="s">
        <v>1</v>
      </c>
      <c r="F36" s="4" t="s">
        <v>13</v>
      </c>
    </row>
    <row r="37" spans="2:8" x14ac:dyDescent="0.4">
      <c r="B37" s="1" t="s">
        <v>2</v>
      </c>
      <c r="C37" s="275" t="s">
        <v>41</v>
      </c>
      <c r="D37" s="276"/>
      <c r="E37" s="59">
        <f>PERC_INSS</f>
        <v>20</v>
      </c>
      <c r="F37" s="58">
        <f>PERC_INSS%*(MOD_1_REMUNERACAO_12X36_DIU+SUBMOD_2_1_DEC_TERC_ADIC_FERIAS_12X36_DIU)</f>
        <v>404.75</v>
      </c>
    </row>
    <row r="38" spans="2:8" s="98" customFormat="1" x14ac:dyDescent="0.4">
      <c r="B38" s="2" t="s">
        <v>3</v>
      </c>
      <c r="C38" s="251" t="s">
        <v>43</v>
      </c>
      <c r="D38" s="253"/>
      <c r="E38" s="46">
        <f>PERC_SAL_EDUCACAO</f>
        <v>2.5</v>
      </c>
      <c r="F38" s="36">
        <f>PERC_SAL_EDUCACAO%*(MOD_1_REMUNERACAO_12X36_DIU+SUBMOD_2_1_DEC_TERC_ADIC_FERIAS_12X36_DIU)</f>
        <v>50.59</v>
      </c>
      <c r="G38" s="13"/>
      <c r="H38" s="13"/>
    </row>
    <row r="39" spans="2:8" s="98" customFormat="1" x14ac:dyDescent="0.4">
      <c r="B39" s="2" t="s">
        <v>4</v>
      </c>
      <c r="C39" s="275" t="s">
        <v>236</v>
      </c>
      <c r="D39" s="276"/>
      <c r="E39" s="59">
        <f>PERC_RAT</f>
        <v>6</v>
      </c>
      <c r="F39" s="58">
        <f>PERC_RAT%*(MOD_1_REMUNERACAO_12X36_DIU+SUBMOD_2_1_DEC_TERC_ADIC_FERIAS_12X36_DIU)</f>
        <v>121.42</v>
      </c>
      <c r="G39" s="13"/>
      <c r="H39" s="13"/>
    </row>
    <row r="40" spans="2:8" s="98" customFormat="1" x14ac:dyDescent="0.4">
      <c r="B40" s="2" t="s">
        <v>5</v>
      </c>
      <c r="C40" s="251" t="s">
        <v>88</v>
      </c>
      <c r="D40" s="253"/>
      <c r="E40" s="38">
        <f>PERC_SESC</f>
        <v>1.5</v>
      </c>
      <c r="F40" s="36">
        <f>PERC_SESC%*(MOD_1_REMUNERACAO_12X36_DIU+SUBMOD_2_1_DEC_TERC_ADIC_FERIAS_12X36_DIU)</f>
        <v>30.36</v>
      </c>
      <c r="G40" s="13"/>
      <c r="H40" s="13"/>
    </row>
    <row r="41" spans="2:8" s="98" customFormat="1" x14ac:dyDescent="0.4">
      <c r="B41" s="2" t="s">
        <v>6</v>
      </c>
      <c r="C41" s="275" t="s">
        <v>89</v>
      </c>
      <c r="D41" s="276"/>
      <c r="E41" s="59">
        <f>PERC_SENAC</f>
        <v>1</v>
      </c>
      <c r="F41" s="58">
        <f>PERC_SENAC%*(MOD_1_REMUNERACAO_12X36_DIU+SUBMOD_2_1_DEC_TERC_ADIC_FERIAS_12X36_DIU)</f>
        <v>20.239999999999998</v>
      </c>
      <c r="G41" s="13"/>
      <c r="H41" s="13"/>
    </row>
    <row r="42" spans="2:8" s="99" customFormat="1" x14ac:dyDescent="0.4">
      <c r="B42" s="2" t="s">
        <v>7</v>
      </c>
      <c r="C42" s="251" t="s">
        <v>45</v>
      </c>
      <c r="D42" s="253"/>
      <c r="E42" s="46">
        <f>PERC_SEBRAE</f>
        <v>0.6</v>
      </c>
      <c r="F42" s="36">
        <f>PERC_SEBRAE%*(MOD_1_REMUNERACAO_12X36_DIU+SUBMOD_2_1_DEC_TERC_ADIC_FERIAS_12X36_DIU)</f>
        <v>12.14</v>
      </c>
      <c r="G42" s="13"/>
      <c r="H42" s="13"/>
    </row>
    <row r="43" spans="2:8" s="99" customFormat="1" x14ac:dyDescent="0.4">
      <c r="B43" s="2" t="s">
        <v>10</v>
      </c>
      <c r="C43" s="275" t="s">
        <v>42</v>
      </c>
      <c r="D43" s="276"/>
      <c r="E43" s="59">
        <f>PERC_INCRA</f>
        <v>0.2</v>
      </c>
      <c r="F43" s="58">
        <f>PERC_INCRA%*(MOD_1_REMUNERACAO_12X36_DIU+SUBMOD_2_1_DEC_TERC_ADIC_FERIAS_12X36_DIU)</f>
        <v>4.05</v>
      </c>
      <c r="G43" s="13"/>
      <c r="H43" s="13"/>
    </row>
    <row r="44" spans="2:8" x14ac:dyDescent="0.4">
      <c r="B44" s="2" t="s">
        <v>11</v>
      </c>
      <c r="C44" s="251" t="s">
        <v>44</v>
      </c>
      <c r="D44" s="253"/>
      <c r="E44" s="46">
        <f>PERC_FGTS</f>
        <v>8</v>
      </c>
      <c r="F44" s="36">
        <f>PERC_FGTS%*(MOD_1_REMUNERACAO_12X36_DIU+SUBMOD_2_1_DEC_TERC_ADIC_FERIAS_12X36_DIU)</f>
        <v>161.9</v>
      </c>
    </row>
    <row r="45" spans="2:8" x14ac:dyDescent="0.4">
      <c r="B45" s="268" t="s">
        <v>46</v>
      </c>
      <c r="C45" s="269"/>
      <c r="D45" s="269"/>
      <c r="E45" s="270"/>
      <c r="F45" s="42">
        <f>SUM(F37:F44)</f>
        <v>805.45</v>
      </c>
    </row>
    <row r="46" spans="2:8" ht="15.75" customHeight="1" x14ac:dyDescent="0.4">
      <c r="B46" s="51" t="s">
        <v>71</v>
      </c>
      <c r="C46" s="99"/>
      <c r="D46" s="99"/>
      <c r="E46" s="99"/>
      <c r="F46" s="99"/>
    </row>
    <row r="47" spans="2:8" ht="15.75" customHeight="1" x14ac:dyDescent="0.4">
      <c r="B47" s="1" t="s">
        <v>90</v>
      </c>
      <c r="C47" s="268" t="s">
        <v>14</v>
      </c>
      <c r="D47" s="269"/>
      <c r="E47" s="270"/>
      <c r="F47" s="4" t="s">
        <v>13</v>
      </c>
    </row>
    <row r="48" spans="2:8" x14ac:dyDescent="0.4">
      <c r="B48" s="25" t="s">
        <v>2</v>
      </c>
      <c r="C48" s="275" t="s">
        <v>15</v>
      </c>
      <c r="D48" s="276"/>
      <c r="E48" s="277"/>
      <c r="F48" s="58">
        <f>IF((((3.5*2)*DIAS_TRABALHADOS_NO_MES_12X36)-(PERC_DESC_TRANSP_REMUNERACAO%*(AL_1_A_SAL_BASE_12X36_DIU/2)))&gt;0,(((3.5*2)*DIAS_TRABALHADOS_NO_MES_12X36)-(PERC_DESC_TRANSP_REMUNERACAO%*(AL_1_A_SAL_BASE_12X36_DIU/2))),0)</f>
        <v>62.97</v>
      </c>
      <c r="G48" s="145"/>
    </row>
    <row r="49" spans="2:7" s="107" customFormat="1" x14ac:dyDescent="0.4">
      <c r="B49" s="25" t="s">
        <v>3</v>
      </c>
      <c r="C49" s="251" t="s">
        <v>70</v>
      </c>
      <c r="D49" s="252"/>
      <c r="E49" s="253"/>
      <c r="F49" s="36">
        <f>ALIMENTACAO_POR_DIA*DIAS_TRABALHADOS_NO_MES_12X36*0.99</f>
        <v>386.1</v>
      </c>
      <c r="G49" s="13"/>
    </row>
    <row r="50" spans="2:7" s="107" customFormat="1" x14ac:dyDescent="0.4">
      <c r="B50" s="25" t="s">
        <v>4</v>
      </c>
      <c r="C50" s="275" t="str">
        <f>OUTROS_BENEFICIOS_1_DESCRICAO</f>
        <v>Auxílio saúde</v>
      </c>
      <c r="D50" s="276"/>
      <c r="E50" s="277"/>
      <c r="F50" s="58"/>
      <c r="G50" s="13"/>
    </row>
    <row r="51" spans="2:7" s="107" customFormat="1" x14ac:dyDescent="0.4">
      <c r="B51" s="25" t="s">
        <v>5</v>
      </c>
      <c r="C51" s="305" t="str">
        <f>OUTROS_BENEFICIOS_2_DESCRICAO</f>
        <v>Auxílio morte/funeral</v>
      </c>
      <c r="D51" s="306"/>
      <c r="E51" s="307"/>
      <c r="F51" s="36"/>
      <c r="G51" s="13"/>
    </row>
    <row r="52" spans="2:7" s="107" customFormat="1" x14ac:dyDescent="0.4">
      <c r="B52" s="25" t="s">
        <v>6</v>
      </c>
      <c r="C52" s="275" t="str">
        <f>OUTROS_BENEFICIOS_3_DESCRICAO</f>
        <v>Seguro de vida</v>
      </c>
      <c r="D52" s="276"/>
      <c r="E52" s="277"/>
      <c r="F52" s="58"/>
    </row>
    <row r="53" spans="2:7" s="107" customFormat="1" ht="15" customHeight="1" x14ac:dyDescent="0.4">
      <c r="B53" s="268" t="s">
        <v>46</v>
      </c>
      <c r="C53" s="269"/>
      <c r="D53" s="269"/>
      <c r="E53" s="270"/>
      <c r="F53" s="40">
        <f>SUM(F48:F52)</f>
        <v>449.07</v>
      </c>
    </row>
    <row r="54" spans="2:7" s="107" customFormat="1" x14ac:dyDescent="0.4">
      <c r="B54" s="51" t="s">
        <v>72</v>
      </c>
      <c r="C54" s="12"/>
      <c r="D54" s="22"/>
      <c r="E54" s="20"/>
      <c r="F54" s="20"/>
    </row>
    <row r="55" spans="2:7" s="107" customFormat="1" ht="15" customHeight="1" x14ac:dyDescent="0.4">
      <c r="B55" s="1">
        <v>3</v>
      </c>
      <c r="C55" s="260" t="s">
        <v>48</v>
      </c>
      <c r="D55" s="260"/>
      <c r="E55" s="4" t="s">
        <v>1</v>
      </c>
      <c r="F55" s="4" t="s">
        <v>13</v>
      </c>
    </row>
    <row r="56" spans="2:7" s="107" customFormat="1" x14ac:dyDescent="0.4">
      <c r="B56" s="1" t="s">
        <v>2</v>
      </c>
      <c r="C56" s="301" t="s">
        <v>49</v>
      </c>
      <c r="D56" s="301"/>
      <c r="E56" s="59">
        <f>PERC_AVISO_PREVIO_IND</f>
        <v>0.28999999999999998</v>
      </c>
      <c r="F56" s="58">
        <f>PERC_AVISO_PREVIO_IND%*(MOD_1_REMUNERACAO_12X36_DIU+SUBMOD_2_1_DEC_TERC_ADIC_FERIAS_12X36_DIU+AL_2_2_FGTS_12X36_DIU+SUBMOD_2_3_BENEFICIOS_12X36_DIU)</f>
        <v>7.64</v>
      </c>
    </row>
    <row r="57" spans="2:7" s="107" customFormat="1" x14ac:dyDescent="0.4">
      <c r="B57" s="2" t="s">
        <v>3</v>
      </c>
      <c r="C57" s="303" t="s">
        <v>50</v>
      </c>
      <c r="D57" s="303"/>
      <c r="E57" s="46">
        <f>PERC_AVISO_PREVIO_TRAB</f>
        <v>1.1599999999999999</v>
      </c>
      <c r="F57" s="36">
        <f>PERC_AVISO_PREVIO_TRAB%*(MOD_1_REMUNERACAO_12X36_DIU+SUBMOD_2_1_DEC_TERC_ADIC_FERIAS_12X36_DIU+SUBMOD_2_2_GPS_FGTS_12X36_DIU+SUBMOD_2_3_BENEFICIOS_12X36_DIU)</f>
        <v>38.03</v>
      </c>
    </row>
    <row r="58" spans="2:7" s="98" customFormat="1" x14ac:dyDescent="0.25">
      <c r="B58" s="2" t="s">
        <v>4</v>
      </c>
      <c r="C58" s="301" t="s">
        <v>232</v>
      </c>
      <c r="D58" s="301"/>
      <c r="E58" s="59">
        <f>PERC_MULTA_FGTS_AV_PREV_TRAB</f>
        <v>0.04</v>
      </c>
      <c r="F58" s="58">
        <f>PERC_MULTA_FGTS_AV_PREV_TRAB%*(MOD_1_REMUNERACAO_12X36_DIU+SUBMOD_2_1_DEC_TERC_ADIC_FERIAS_12X36_DIU)</f>
        <v>0.81</v>
      </c>
    </row>
    <row r="59" spans="2:7" s="98" customFormat="1" x14ac:dyDescent="0.4">
      <c r="B59" s="268" t="s">
        <v>46</v>
      </c>
      <c r="C59" s="269"/>
      <c r="D59" s="269"/>
      <c r="E59" s="270"/>
      <c r="F59" s="41">
        <f>SUM(F56:F58)</f>
        <v>46.48</v>
      </c>
    </row>
    <row r="60" spans="2:7" ht="7.5" customHeight="1" x14ac:dyDescent="0.4">
      <c r="B60" s="16"/>
      <c r="C60" s="17"/>
      <c r="D60" s="18"/>
      <c r="E60" s="14"/>
      <c r="F60" s="14"/>
    </row>
    <row r="61" spans="2:7" s="98" customFormat="1" ht="15.9" customHeight="1" x14ac:dyDescent="0.4">
      <c r="B61" s="51" t="s">
        <v>73</v>
      </c>
      <c r="C61" s="12"/>
      <c r="D61" s="22"/>
      <c r="E61" s="13"/>
      <c r="F61" s="13"/>
    </row>
    <row r="62" spans="2:7" s="98" customFormat="1" ht="15.9" customHeight="1" x14ac:dyDescent="0.4">
      <c r="B62" s="51" t="s">
        <v>102</v>
      </c>
      <c r="C62" s="12"/>
      <c r="D62" s="22"/>
      <c r="E62" s="20"/>
      <c r="F62" s="20"/>
    </row>
    <row r="63" spans="2:7" s="98" customFormat="1" x14ac:dyDescent="0.25">
      <c r="B63" s="1" t="s">
        <v>18</v>
      </c>
      <c r="C63" s="302" t="s">
        <v>103</v>
      </c>
      <c r="D63" s="302"/>
      <c r="E63" s="4" t="s">
        <v>1</v>
      </c>
      <c r="F63" s="4" t="s">
        <v>13</v>
      </c>
    </row>
    <row r="64" spans="2:7" s="98" customFormat="1" ht="15.9" customHeight="1" x14ac:dyDescent="0.25">
      <c r="B64" s="2" t="s">
        <v>2</v>
      </c>
      <c r="C64" s="298" t="s">
        <v>104</v>
      </c>
      <c r="D64" s="298"/>
      <c r="E64" s="59">
        <f>PERC_SUBSTITUTO_FERIAS</f>
        <v>8.33</v>
      </c>
      <c r="F64" s="58">
        <f>PERC_SUBSTITUTO_FERIAS%*(MOD_1_REMUNERACAO_12X36_DIU+MOD_2_ENCARGOS_BENEFICIOS_12X36_DIU+MOD_3_PROVISAO_RESCISAO_12X36_DIU)</f>
        <v>276.95</v>
      </c>
    </row>
    <row r="65" spans="2:7" s="98" customFormat="1" ht="15.9" customHeight="1" x14ac:dyDescent="0.25">
      <c r="B65" s="2" t="s">
        <v>3</v>
      </c>
      <c r="C65" s="300" t="s">
        <v>105</v>
      </c>
      <c r="D65" s="300"/>
      <c r="E65" s="46">
        <f>PERC_SUBSTITUTO_AUSENCIAS_LEGAIS</f>
        <v>2.2200000000000002</v>
      </c>
      <c r="F65" s="36">
        <f>PERC_SUBSTITUTO_AUSENCIAS_LEGAIS%*(MOD_1_REMUNERACAO_12X36_DIU+MOD_2_ENCARGOS_BENEFICIOS_12X36_DIU+MOD_3_PROVISAO_RESCISAO_12X36_DIU)</f>
        <v>73.81</v>
      </c>
    </row>
    <row r="66" spans="2:7" s="98" customFormat="1" ht="15.9" customHeight="1" x14ac:dyDescent="0.25">
      <c r="B66" s="2" t="s">
        <v>4</v>
      </c>
      <c r="C66" s="298" t="s">
        <v>106</v>
      </c>
      <c r="D66" s="298"/>
      <c r="E66" s="59">
        <f>PERC_SUBSTITUTO_LICENCA_PATERNIDADE</f>
        <v>7.0000000000000007E-2</v>
      </c>
      <c r="F66" s="58">
        <f>PERC_SUBSTITUTO_LICENCA_PATERNIDADE%*(MOD_1_REMUNERACAO_12X36_DIU+MOD_2_ENCARGOS_BENEFICIOS_12X36_DIU+MOD_3_PROVISAO_RESCISAO_12X36_DIU)</f>
        <v>2.33</v>
      </c>
    </row>
    <row r="67" spans="2:7" s="98" customFormat="1" x14ac:dyDescent="0.25">
      <c r="B67" s="2" t="s">
        <v>5</v>
      </c>
      <c r="C67" s="300" t="s">
        <v>107</v>
      </c>
      <c r="D67" s="300"/>
      <c r="E67" s="46">
        <f>PERC_SUBSTITUTO_ACID_TRAB</f>
        <v>0.02</v>
      </c>
      <c r="F67" s="36">
        <f>PERC_SUBSTITUTO_ACID_TRAB%*(MOD_1_REMUNERACAO_12X36_DIU+MOD_2_ENCARGOS_BENEFICIOS_12X36_DIU+MOD_3_PROVISAO_RESCISAO_12X36_DIU)</f>
        <v>0.66</v>
      </c>
    </row>
    <row r="68" spans="2:7" s="98" customFormat="1" x14ac:dyDescent="0.25">
      <c r="B68" s="2" t="s">
        <v>6</v>
      </c>
      <c r="C68" s="298" t="s">
        <v>108</v>
      </c>
      <c r="D68" s="298"/>
      <c r="E68" s="59">
        <f>PERC_SUBSTITUTO_AFAST_MATERN</f>
        <v>0.04</v>
      </c>
      <c r="F68" s="58">
        <f>PERC_SUBSTITUTO_AFAST_MATERN%*(MOD_1_REMUNERACAO_12X36_DIU+MOD_2_ENCARGOS_BENEFICIOS_12X36_DIU+MOD_3_PROVISAO_RESCISAO_12X36_DIU)</f>
        <v>1.33</v>
      </c>
    </row>
    <row r="69" spans="2:7" s="98" customFormat="1" x14ac:dyDescent="0.25">
      <c r="B69" s="2" t="s">
        <v>7</v>
      </c>
      <c r="C69" s="325" t="str">
        <f>OUTRAS_AUSENCIAS_DESCRICAO</f>
        <v>Outras Ausências (Especificar - em %)</v>
      </c>
      <c r="D69" s="300"/>
      <c r="E69" s="53">
        <f>PERC_SUBSTITUTO_OUTRAS_AUSENCIAS</f>
        <v>0</v>
      </c>
      <c r="F69" s="36">
        <f>PERC_SUBSTITUTO_OUTRAS_AUSENCIAS%*(MOD_1_REMUNERACAO_12X36_DIU+MOD_2_ENCARGOS_BENEFICIOS_12X36_DIU+MOD_3_PROVISAO_RESCISAO_12X36_DIU)</f>
        <v>0</v>
      </c>
    </row>
    <row r="70" spans="2:7" s="98" customFormat="1" x14ac:dyDescent="0.4">
      <c r="B70" s="268" t="s">
        <v>46</v>
      </c>
      <c r="C70" s="269"/>
      <c r="D70" s="269"/>
      <c r="E70" s="270"/>
      <c r="F70" s="41">
        <f>SUM(F64:F69)</f>
        <v>355.08</v>
      </c>
    </row>
    <row r="71" spans="2:7" s="98" customFormat="1" ht="15" customHeight="1" x14ac:dyDescent="0.4">
      <c r="B71" s="51" t="s">
        <v>226</v>
      </c>
      <c r="C71" s="12"/>
      <c r="D71" s="22"/>
      <c r="E71" s="20"/>
      <c r="F71" s="20"/>
    </row>
    <row r="72" spans="2:7" s="98" customFormat="1" x14ac:dyDescent="0.25">
      <c r="B72" s="1" t="s">
        <v>19</v>
      </c>
      <c r="C72" s="260" t="s">
        <v>225</v>
      </c>
      <c r="D72" s="260"/>
      <c r="E72" s="260"/>
      <c r="F72" s="4" t="s">
        <v>13</v>
      </c>
    </row>
    <row r="73" spans="2:7" s="98" customFormat="1" x14ac:dyDescent="0.25">
      <c r="B73" s="1" t="s">
        <v>2</v>
      </c>
      <c r="C73" s="298" t="s">
        <v>109</v>
      </c>
      <c r="D73" s="298"/>
      <c r="E73" s="298"/>
      <c r="F73" s="57">
        <f>((MOD_1_REMUNERACAO_12X36_DIU+MOD_2_ENCARGOS_BENEFICIOS_12X36_DIU+MOD_3_PROVISAO_RESCISAO_12X36_DIU)/DIVISOR_DE_HORAS)*((TEMPO_INTERVALO_REFEICAO/HORA_NORMAL))*DIAS_TRABALHADOS_NO_MES_12X36</f>
        <v>226.69</v>
      </c>
      <c r="G73" s="140"/>
    </row>
    <row r="74" spans="2:7" s="98" customFormat="1" x14ac:dyDescent="0.4">
      <c r="B74" s="260" t="s">
        <v>46</v>
      </c>
      <c r="C74" s="260"/>
      <c r="D74" s="260"/>
      <c r="E74" s="260"/>
      <c r="F74" s="41">
        <f>SUM(F73)</f>
        <v>226.69</v>
      </c>
    </row>
    <row r="75" spans="2:7" ht="7.5" customHeight="1" x14ac:dyDescent="0.4">
      <c r="B75" s="16"/>
      <c r="C75" s="17"/>
      <c r="D75" s="18"/>
      <c r="E75" s="14"/>
      <c r="F75" s="14"/>
    </row>
    <row r="76" spans="2:7" x14ac:dyDescent="0.4">
      <c r="B76" s="51" t="s">
        <v>77</v>
      </c>
      <c r="C76" s="12"/>
      <c r="D76" s="12"/>
      <c r="E76" s="20"/>
      <c r="F76" s="20"/>
    </row>
    <row r="77" spans="2:7" ht="15.75" customHeight="1" x14ac:dyDescent="0.4">
      <c r="B77" s="49">
        <v>5</v>
      </c>
      <c r="C77" s="271" t="s">
        <v>0</v>
      </c>
      <c r="D77" s="271"/>
      <c r="E77" s="271"/>
      <c r="F77" s="50" t="s">
        <v>13</v>
      </c>
    </row>
    <row r="78" spans="2:7" x14ac:dyDescent="0.4">
      <c r="B78" s="44" t="s">
        <v>2</v>
      </c>
      <c r="C78" s="272" t="s">
        <v>16</v>
      </c>
      <c r="D78" s="272"/>
      <c r="E78" s="272"/>
      <c r="F78" s="60">
        <f>UNIFORMES</f>
        <v>244.71</v>
      </c>
    </row>
    <row r="79" spans="2:7" x14ac:dyDescent="0.4">
      <c r="B79" s="44" t="s">
        <v>3</v>
      </c>
      <c r="C79" s="273" t="s">
        <v>285</v>
      </c>
      <c r="D79" s="273"/>
      <c r="E79" s="273"/>
      <c r="F79" s="47">
        <f>MATERIAIS</f>
        <v>77.400000000000006</v>
      </c>
    </row>
    <row r="80" spans="2:7" x14ac:dyDescent="0.4">
      <c r="B80" s="44" t="s">
        <v>4</v>
      </c>
      <c r="C80" s="272" t="s">
        <v>286</v>
      </c>
      <c r="D80" s="272"/>
      <c r="E80" s="272"/>
      <c r="F80" s="60">
        <f>EQUIPAMENTOS</f>
        <v>8.09</v>
      </c>
    </row>
    <row r="81" spans="2:8" x14ac:dyDescent="0.4">
      <c r="B81" s="44" t="s">
        <v>5</v>
      </c>
      <c r="C81" s="324" t="str">
        <f>OUTROS_INSUMOS_DESCRICAO</f>
        <v>Outros (Especificar)</v>
      </c>
      <c r="D81" s="273"/>
      <c r="E81" s="273"/>
      <c r="F81" s="47">
        <f>OUTROS_INSUMOS</f>
        <v>0</v>
      </c>
    </row>
    <row r="82" spans="2:8" x14ac:dyDescent="0.4">
      <c r="B82" s="328" t="s">
        <v>46</v>
      </c>
      <c r="C82" s="328"/>
      <c r="D82" s="328"/>
      <c r="E82" s="328"/>
      <c r="F82" s="43">
        <f>SUM(F78:F81)</f>
        <v>330.2</v>
      </c>
    </row>
    <row r="83" spans="2:8" ht="7.5" customHeight="1" x14ac:dyDescent="0.4">
      <c r="B83" s="16"/>
      <c r="C83" s="17"/>
      <c r="D83" s="18"/>
      <c r="E83" s="14"/>
      <c r="F83" s="14"/>
    </row>
    <row r="84" spans="2:8" ht="15" customHeight="1" x14ac:dyDescent="0.4">
      <c r="B84" s="264" t="s">
        <v>76</v>
      </c>
      <c r="C84" s="264"/>
      <c r="D84" s="264"/>
      <c r="E84" s="264"/>
      <c r="F84" s="264"/>
    </row>
    <row r="85" spans="2:8" x14ac:dyDescent="0.4">
      <c r="B85" s="1">
        <v>6</v>
      </c>
      <c r="C85" s="260" t="s">
        <v>20</v>
      </c>
      <c r="D85" s="260"/>
      <c r="E85" s="4" t="s">
        <v>1</v>
      </c>
      <c r="F85" s="4" t="s">
        <v>13</v>
      </c>
    </row>
    <row r="86" spans="2:8" x14ac:dyDescent="0.4">
      <c r="B86" s="1" t="s">
        <v>2</v>
      </c>
      <c r="C86" s="298" t="s">
        <v>78</v>
      </c>
      <c r="D86" s="298"/>
      <c r="E86" s="61">
        <f>PERC_CUSTOS_INDIRETOS</f>
        <v>4.8499999999999996</v>
      </c>
      <c r="F86" s="58">
        <f>PERC_CUSTOS_INDIRETOS%*(MOD_1_REMUNERACAO_12X36_DIU+MOD_2_ENCARGOS_BENEFICIOS_12X36_DIU+MOD_3_PROVISAO_RESCISAO_12X36_DIU+MOD_4_CUSTO_REPOSICAO_12X36_DIU+MOD_5_INSUMOS_12X36_DIU)</f>
        <v>205.48</v>
      </c>
    </row>
    <row r="87" spans="2:8" ht="15.75" customHeight="1" x14ac:dyDescent="0.4">
      <c r="B87" s="2" t="s">
        <v>3</v>
      </c>
      <c r="C87" s="300" t="s">
        <v>32</v>
      </c>
      <c r="D87" s="300"/>
      <c r="E87" s="48">
        <f>PERC_LUCRO</f>
        <v>5.45</v>
      </c>
      <c r="F87" s="36">
        <f>PERC_LUCRO%*(MOD_1_REMUNERACAO_12X36_DIU+MOD_2_ENCARGOS_BENEFICIOS_12X36_DIU+MOD_3_PROVISAO_RESCISAO_12X36_DIU+MOD_4_CUSTO_REPOSICAO_12X36_DIU+MOD_5_INSUMOS_12X36_DIU+AL_6_A_CUSTOS_INDIRETOS_12X36_DIU)</f>
        <v>242.1</v>
      </c>
    </row>
    <row r="88" spans="2:8" x14ac:dyDescent="0.4">
      <c r="B88" s="2" t="s">
        <v>4</v>
      </c>
      <c r="C88" s="298" t="s">
        <v>21</v>
      </c>
      <c r="D88" s="298"/>
      <c r="E88" s="61">
        <f>SUM(E89:E91)</f>
        <v>8.65</v>
      </c>
      <c r="F88" s="58">
        <f>SUM(F89:F91)</f>
        <v>443.56</v>
      </c>
    </row>
    <row r="89" spans="2:8" ht="15.75" customHeight="1" x14ac:dyDescent="0.4">
      <c r="B89" s="30" t="s">
        <v>79</v>
      </c>
      <c r="C89" s="326" t="s">
        <v>23</v>
      </c>
      <c r="D89" s="326"/>
      <c r="E89" s="31">
        <f>PERC_PIS</f>
        <v>0.65</v>
      </c>
      <c r="F89" s="63">
        <f>((MOD_1_REMUNERACAO_12X36_DIU+MOD_2_ENCARGOS_BENEFICIOS_12X36_DIU+MOD_3_PROVISAO_RESCISAO_12X36_DIU+MOD_4_CUSTO_REPOSICAO_12X36_DIU+MOD_5_INSUMOS_12X36_DIU+AL_6_A_CUSTOS_INDIRETOS_12X36_DIU+AL_6_B_LUCRO_12X36_DIU)*PERC_PIS%)/(1-PERC_TRIBUTOS%)</f>
        <v>33.33</v>
      </c>
    </row>
    <row r="90" spans="2:8" x14ac:dyDescent="0.4">
      <c r="B90" s="30" t="s">
        <v>80</v>
      </c>
      <c r="C90" s="327" t="s">
        <v>24</v>
      </c>
      <c r="D90" s="327"/>
      <c r="E90" s="62">
        <f>PERC_COFINS</f>
        <v>3</v>
      </c>
      <c r="F90" s="64">
        <f>((MOD_1_REMUNERACAO_12X36_DIU+MOD_2_ENCARGOS_BENEFICIOS_12X36_DIU+MOD_3_PROVISAO_RESCISAO_12X36_DIU+MOD_4_CUSTO_REPOSICAO_12X36_DIU+MOD_5_INSUMOS_12X36_DIU+AL_6_A_CUSTOS_INDIRETOS_12X36_DIU+AL_6_B_LUCRO_12X36_DIU)*PERC_COFINS%)/(1-PERC_TRIBUTOS%)</f>
        <v>153.84</v>
      </c>
    </row>
    <row r="91" spans="2:8" s="108" customFormat="1" x14ac:dyDescent="0.4">
      <c r="B91" s="30" t="s">
        <v>81</v>
      </c>
      <c r="C91" s="326" t="s">
        <v>25</v>
      </c>
      <c r="D91" s="326"/>
      <c r="E91" s="31">
        <f>PERC_ISS</f>
        <v>5</v>
      </c>
      <c r="F91" s="63">
        <f>((MOD_1_REMUNERACAO_12X36_DIU+MOD_2_ENCARGOS_BENEFICIOS_12X36_DIU+MOD_3_PROVISAO_RESCISAO_12X36_DIU+MOD_4_CUSTO_REPOSICAO_12X36_DIU+MOD_5_INSUMOS_12X36_DIU+AL_6_A_CUSTOS_INDIRETOS_12X36_DIU+AL_6_B_LUCRO_12X36_DIU)*PERC_ISS%)/(1-PERC_TRIBUTOS%)</f>
        <v>256.39</v>
      </c>
      <c r="H91" s="13"/>
    </row>
    <row r="92" spans="2:8" s="108" customFormat="1" x14ac:dyDescent="0.4">
      <c r="B92" s="268" t="s">
        <v>46</v>
      </c>
      <c r="C92" s="269"/>
      <c r="D92" s="269"/>
      <c r="E92" s="270"/>
      <c r="F92" s="37">
        <f>AL_6_A_CUSTOS_INDIRETOS_12X36_DIU+AL_6_B_LUCRO_12X36_DIU+AL_6_C_TRIBUTOS_12X36_DIU</f>
        <v>891.14</v>
      </c>
    </row>
    <row r="93" spans="2:8" s="108" customFormat="1" x14ac:dyDescent="0.4">
      <c r="B93" s="264" t="s">
        <v>261</v>
      </c>
      <c r="C93" s="264"/>
      <c r="D93" s="264"/>
      <c r="E93" s="264"/>
      <c r="F93" s="264"/>
    </row>
    <row r="94" spans="2:8" s="108" customFormat="1" x14ac:dyDescent="0.4">
      <c r="B94" s="147" t="s">
        <v>2</v>
      </c>
      <c r="C94" s="275" t="str">
        <f>'INSERÇÃO-DE-DADOS'!C85:E85</f>
        <v>Dia do Vigilante - Clausula 82ª CCT - Jornada 12x36 diurno</v>
      </c>
      <c r="D94" s="276"/>
      <c r="E94" s="277"/>
      <c r="F94" s="57">
        <f>'INSERÇÃO-DE-DADOS'!F85</f>
        <v>8.2799999999999994</v>
      </c>
    </row>
    <row r="95" spans="2:8" s="108" customFormat="1" ht="20.399999999999999" x14ac:dyDescent="0.4">
      <c r="B95" s="52" t="s">
        <v>53</v>
      </c>
      <c r="C95" s="15"/>
      <c r="D95" s="15"/>
      <c r="E95" s="15"/>
      <c r="F95" s="23"/>
    </row>
    <row r="96" spans="2:8" s="109" customFormat="1" ht="16.5" customHeight="1" x14ac:dyDescent="0.4">
      <c r="B96" s="2" t="s">
        <v>98</v>
      </c>
      <c r="C96" s="257" t="s">
        <v>99</v>
      </c>
      <c r="D96" s="258"/>
      <c r="E96" s="259"/>
      <c r="F96" s="4" t="s">
        <v>17</v>
      </c>
      <c r="H96" s="128"/>
    </row>
    <row r="97" spans="2:8" s="108" customFormat="1" x14ac:dyDescent="0.4">
      <c r="B97" s="1">
        <v>1</v>
      </c>
      <c r="C97" s="298" t="s">
        <v>9</v>
      </c>
      <c r="D97" s="298"/>
      <c r="E97" s="298"/>
      <c r="F97" s="58">
        <f>MOD_1_REMUNERACAO_12X36_DIU</f>
        <v>1821.39</v>
      </c>
    </row>
    <row r="98" spans="2:8" s="110" customFormat="1" ht="16.5" customHeight="1" x14ac:dyDescent="0.4">
      <c r="B98" s="2">
        <v>2</v>
      </c>
      <c r="C98" s="300" t="s">
        <v>100</v>
      </c>
      <c r="D98" s="300"/>
      <c r="E98" s="300"/>
      <c r="F98" s="36">
        <f>MOD_2_ENCARGOS_BENEFICIOS_12X36_DIU</f>
        <v>1456.87</v>
      </c>
    </row>
    <row r="99" spans="2:8" s="110" customFormat="1" x14ac:dyDescent="0.4">
      <c r="B99" s="2">
        <v>3</v>
      </c>
      <c r="C99" s="298" t="s">
        <v>48</v>
      </c>
      <c r="D99" s="298"/>
      <c r="E99" s="298"/>
      <c r="F99" s="58">
        <f>MOD_3_PROVISAO_RESCISAO_12X36_DIU</f>
        <v>46.48</v>
      </c>
    </row>
    <row r="100" spans="2:8" s="110" customFormat="1" x14ac:dyDescent="0.4">
      <c r="B100" s="2">
        <v>4</v>
      </c>
      <c r="C100" s="300" t="s">
        <v>51</v>
      </c>
      <c r="D100" s="300"/>
      <c r="E100" s="300"/>
      <c r="F100" s="36">
        <f>MOD_4_CUSTO_REPOSICAO_12X36_DIU</f>
        <v>581.77</v>
      </c>
    </row>
    <row r="101" spans="2:8" s="110" customFormat="1" x14ac:dyDescent="0.4">
      <c r="B101" s="2">
        <v>5</v>
      </c>
      <c r="C101" s="298" t="s">
        <v>0</v>
      </c>
      <c r="D101" s="298"/>
      <c r="E101" s="298"/>
      <c r="F101" s="58">
        <f>MOD_5_INSUMOS_12X36_DIU</f>
        <v>330.2</v>
      </c>
    </row>
    <row r="102" spans="2:8" s="110" customFormat="1" x14ac:dyDescent="0.4">
      <c r="B102" s="2">
        <v>6</v>
      </c>
      <c r="C102" s="300" t="s">
        <v>20</v>
      </c>
      <c r="D102" s="300"/>
      <c r="E102" s="300"/>
      <c r="F102" s="36">
        <f>MOD_6_CUSTOS_IND_LUCRO_TRIB_12X36_DIU</f>
        <v>891.14</v>
      </c>
    </row>
    <row r="103" spans="2:8" s="110" customFormat="1" x14ac:dyDescent="0.4">
      <c r="B103" s="2">
        <v>7</v>
      </c>
      <c r="C103" s="149" t="str">
        <f>C94</f>
        <v>Dia do Vigilante - Clausula 82ª CCT - Jornada 12x36 diurno</v>
      </c>
      <c r="D103" s="146"/>
      <c r="E103" s="146"/>
      <c r="F103" s="36">
        <f>F94</f>
        <v>8.2799999999999994</v>
      </c>
    </row>
    <row r="104" spans="2:8" ht="16.5" customHeight="1" x14ac:dyDescent="0.4">
      <c r="B104" s="302" t="s">
        <v>101</v>
      </c>
      <c r="C104" s="302"/>
      <c r="D104" s="302"/>
      <c r="E104" s="302"/>
      <c r="F104" s="37">
        <f>SUM(F97:F103)</f>
        <v>5136.13</v>
      </c>
      <c r="H104" s="129"/>
    </row>
    <row r="105" spans="2:8" ht="16.5" customHeight="1" x14ac:dyDescent="0.4">
      <c r="B105" s="302" t="s">
        <v>30</v>
      </c>
      <c r="C105" s="302"/>
      <c r="D105" s="302"/>
      <c r="E105" s="302"/>
      <c r="F105" s="37">
        <f>VALOR_TOTAL_EMPREGADO_12x36_DIU*EMPREG_POR_POSTO_12X36_DIU</f>
        <v>10272.26</v>
      </c>
    </row>
  </sheetData>
  <mergeCells count="91">
    <mergeCell ref="B105:E105"/>
    <mergeCell ref="C90:D90"/>
    <mergeCell ref="C91:D91"/>
    <mergeCell ref="B92:E92"/>
    <mergeCell ref="C96:E96"/>
    <mergeCell ref="C97:E97"/>
    <mergeCell ref="C98:E98"/>
    <mergeCell ref="C99:E99"/>
    <mergeCell ref="C100:E100"/>
    <mergeCell ref="C101:E101"/>
    <mergeCell ref="C102:E102"/>
    <mergeCell ref="B104:E104"/>
    <mergeCell ref="B93:F93"/>
    <mergeCell ref="C94:E94"/>
    <mergeCell ref="C89:D89"/>
    <mergeCell ref="C77:E77"/>
    <mergeCell ref="C78:E78"/>
    <mergeCell ref="C79:E79"/>
    <mergeCell ref="C80:E80"/>
    <mergeCell ref="C81:E81"/>
    <mergeCell ref="B82:E82"/>
    <mergeCell ref="B84:F84"/>
    <mergeCell ref="C85:D85"/>
    <mergeCell ref="C86:D86"/>
    <mergeCell ref="C87:D87"/>
    <mergeCell ref="C88:D88"/>
    <mergeCell ref="B74:E74"/>
    <mergeCell ref="B59:E59"/>
    <mergeCell ref="C63:D63"/>
    <mergeCell ref="C64:D64"/>
    <mergeCell ref="C65:D65"/>
    <mergeCell ref="C66:D66"/>
    <mergeCell ref="C67:D67"/>
    <mergeCell ref="C68:D68"/>
    <mergeCell ref="C69:D69"/>
    <mergeCell ref="B70:E70"/>
    <mergeCell ref="C72:E72"/>
    <mergeCell ref="C73:E73"/>
    <mergeCell ref="C58:D58"/>
    <mergeCell ref="B45:E45"/>
    <mergeCell ref="C47:E47"/>
    <mergeCell ref="C48:E48"/>
    <mergeCell ref="C49:E49"/>
    <mergeCell ref="C50:E50"/>
    <mergeCell ref="C51:E51"/>
    <mergeCell ref="C52:E52"/>
    <mergeCell ref="B53:E53"/>
    <mergeCell ref="C55:D55"/>
    <mergeCell ref="C56:D56"/>
    <mergeCell ref="C57:D57"/>
    <mergeCell ref="C44:D44"/>
    <mergeCell ref="C33:D33"/>
    <mergeCell ref="B34:E34"/>
    <mergeCell ref="B35:F35"/>
    <mergeCell ref="C36:D36"/>
    <mergeCell ref="C37:D37"/>
    <mergeCell ref="C38:D38"/>
    <mergeCell ref="C39:D39"/>
    <mergeCell ref="C40:D40"/>
    <mergeCell ref="C41:D41"/>
    <mergeCell ref="C42:D42"/>
    <mergeCell ref="C43:D43"/>
    <mergeCell ref="C32:D32"/>
    <mergeCell ref="C18:E18"/>
    <mergeCell ref="B20:F20"/>
    <mergeCell ref="B21:E21"/>
    <mergeCell ref="C23:E23"/>
    <mergeCell ref="C24:E24"/>
    <mergeCell ref="C25:E25"/>
    <mergeCell ref="C26:E26"/>
    <mergeCell ref="C27:E27"/>
    <mergeCell ref="B28:E28"/>
    <mergeCell ref="C31:D31"/>
    <mergeCell ref="D17:F17"/>
    <mergeCell ref="B6:C6"/>
    <mergeCell ref="D6:E6"/>
    <mergeCell ref="B7:F7"/>
    <mergeCell ref="C8:E8"/>
    <mergeCell ref="D9:F9"/>
    <mergeCell ref="C10:E10"/>
    <mergeCell ref="C11:E11"/>
    <mergeCell ref="C12:E12"/>
    <mergeCell ref="C15:D15"/>
    <mergeCell ref="E15:F15"/>
    <mergeCell ref="D16:F16"/>
    <mergeCell ref="B1:F1"/>
    <mergeCell ref="B2:D2"/>
    <mergeCell ref="B3:F3"/>
    <mergeCell ref="B4:F4"/>
    <mergeCell ref="B5:C5"/>
    <mergeCell ref="D5:F5"/>
  </mergeCells>
  <printOptions horizontalCentered="1"/>
  <pageMargins left="0.15748031496062992" right="0.23622047244094491" top="0.24" bottom="0.15748031496062992" header="0.23622047244094491" footer="0.15748031496062992"/>
  <pageSetup paperSize="9" firstPageNumber="0" orientation="portrait" verticalDpi="300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5"/>
  <sheetViews>
    <sheetView topLeftCell="A24" zoomScaleNormal="100" zoomScaleSheetLayoutView="100" workbookViewId="0">
      <selection activeCell="F24" sqref="F24"/>
    </sheetView>
  </sheetViews>
  <sheetFormatPr defaultColWidth="9.109375" defaultRowHeight="16.8" x14ac:dyDescent="0.4"/>
  <cols>
    <col min="1" max="1" width="2.6640625" style="13" customWidth="1"/>
    <col min="2" max="2" width="8.88671875" style="13" customWidth="1"/>
    <col min="3" max="3" width="52.5546875" style="19" customWidth="1"/>
    <col min="4" max="4" width="7.88671875" style="19" customWidth="1"/>
    <col min="5" max="5" width="13.5546875" style="19" customWidth="1"/>
    <col min="6" max="6" width="15.44140625" style="19" bestFit="1" customWidth="1"/>
    <col min="7" max="7" width="9.6640625" style="13" bestFit="1" customWidth="1"/>
    <col min="8" max="16384" width="9.109375" style="13"/>
  </cols>
  <sheetData>
    <row r="1" spans="2:6" ht="20.399999999999999" x14ac:dyDescent="0.45">
      <c r="B1" s="313" t="str">
        <f>RAMO</f>
        <v>RAMO: MINISTÉRIO PÚBLIC FEDERAL</v>
      </c>
      <c r="C1" s="314"/>
      <c r="D1" s="314"/>
      <c r="E1" s="314"/>
      <c r="F1" s="315"/>
    </row>
    <row r="2" spans="2:6" ht="20.399999999999999" x14ac:dyDescent="0.45">
      <c r="B2" s="316" t="str">
        <f>UG</f>
        <v>UNIDADE GESTORA (SIGLA): PR-PA</v>
      </c>
      <c r="C2" s="317"/>
      <c r="D2" s="318"/>
      <c r="E2" s="113" t="s">
        <v>57</v>
      </c>
      <c r="F2" s="114" t="str">
        <f>DATA_DO_ORCAMENTO_ESTIMATIVO</f>
        <v>XX/XX/20XX</v>
      </c>
    </row>
    <row r="3" spans="2:6" s="98" customFormat="1" ht="24.6" x14ac:dyDescent="0.55000000000000004">
      <c r="B3" s="281" t="s">
        <v>55</v>
      </c>
      <c r="C3" s="281"/>
      <c r="D3" s="281"/>
      <c r="E3" s="281"/>
      <c r="F3" s="281"/>
    </row>
    <row r="4" spans="2:6" s="98" customFormat="1" ht="15.9" customHeight="1" x14ac:dyDescent="0.4">
      <c r="B4" s="282" t="s">
        <v>97</v>
      </c>
      <c r="C4" s="282"/>
      <c r="D4" s="282"/>
      <c r="E4" s="282"/>
      <c r="F4" s="282"/>
    </row>
    <row r="5" spans="2:6" s="98" customFormat="1" ht="15.9" customHeight="1" x14ac:dyDescent="0.4">
      <c r="B5" s="285" t="s">
        <v>223</v>
      </c>
      <c r="C5" s="285"/>
      <c r="D5" s="319" t="str">
        <f>NUMERO_PROCESSO</f>
        <v>1.23.000.000855/2020-32</v>
      </c>
      <c r="E5" s="319"/>
      <c r="F5" s="319"/>
    </row>
    <row r="6" spans="2:6" s="98" customFormat="1" ht="15.75" customHeight="1" x14ac:dyDescent="0.4">
      <c r="B6" s="289" t="s">
        <v>224</v>
      </c>
      <c r="C6" s="289"/>
      <c r="D6" s="320" t="str">
        <f>MODALIDADE_DE_LICITACAO</f>
        <v>Pregão nº</v>
      </c>
      <c r="E6" s="320"/>
      <c r="F6" s="118" t="str">
        <f>NUMERO_PREGAO</f>
        <v>XX/20XX</v>
      </c>
    </row>
    <row r="7" spans="2:6" s="99" customFormat="1" ht="15.75" customHeight="1" x14ac:dyDescent="0.45">
      <c r="B7" s="321" t="s">
        <v>58</v>
      </c>
      <c r="C7" s="321"/>
      <c r="D7" s="321"/>
      <c r="E7" s="321"/>
      <c r="F7" s="321"/>
    </row>
    <row r="8" spans="2:6" s="98" customFormat="1" ht="18" customHeight="1" x14ac:dyDescent="0.4">
      <c r="B8" s="25" t="s">
        <v>2</v>
      </c>
      <c r="C8" s="285" t="s">
        <v>63</v>
      </c>
      <c r="D8" s="285"/>
      <c r="E8" s="285"/>
      <c r="F8" s="119" t="str">
        <f>DATA_APRESENTACAO_PROPOSTA</f>
        <v>XX/XX/20XX</v>
      </c>
    </row>
    <row r="9" spans="2:6" s="98" customFormat="1" ht="15.9" customHeight="1" x14ac:dyDescent="0.25">
      <c r="B9" s="1" t="s">
        <v>3</v>
      </c>
      <c r="C9" s="67" t="s">
        <v>36</v>
      </c>
      <c r="D9" s="311" t="s">
        <v>269</v>
      </c>
      <c r="E9" s="311"/>
      <c r="F9" s="311"/>
    </row>
    <row r="10" spans="2:6" s="98" customFormat="1" ht="18.75" customHeight="1" x14ac:dyDescent="0.4">
      <c r="B10" s="25" t="s">
        <v>4</v>
      </c>
      <c r="C10" s="285" t="s">
        <v>37</v>
      </c>
      <c r="D10" s="285"/>
      <c r="E10" s="285"/>
      <c r="F10" s="120" t="str">
        <f>ACORDO_COLETIVO</f>
        <v>CCT 2020/2021</v>
      </c>
    </row>
    <row r="11" spans="2:6" s="98" customFormat="1" ht="15.9" customHeight="1" x14ac:dyDescent="0.4">
      <c r="B11" s="1" t="s">
        <v>5</v>
      </c>
      <c r="C11" s="311" t="s">
        <v>64</v>
      </c>
      <c r="D11" s="311"/>
      <c r="E11" s="311"/>
      <c r="F11" s="121">
        <f>NUMERO_MESES_EXEC_CONTRATUAL</f>
        <v>12</v>
      </c>
    </row>
    <row r="12" spans="2:6" s="98" customFormat="1" x14ac:dyDescent="0.4">
      <c r="B12" s="1" t="s">
        <v>6</v>
      </c>
      <c r="C12" s="312" t="s">
        <v>85</v>
      </c>
      <c r="D12" s="312"/>
      <c r="E12" s="312"/>
      <c r="F12" s="102">
        <v>2</v>
      </c>
    </row>
    <row r="13" spans="2:6" s="127" customFormat="1" ht="21" customHeight="1" x14ac:dyDescent="0.25">
      <c r="B13" s="125" t="s">
        <v>205</v>
      </c>
      <c r="C13" s="126"/>
      <c r="D13" s="126"/>
      <c r="E13" s="126"/>
      <c r="F13" s="126"/>
    </row>
    <row r="14" spans="2:6" s="98" customFormat="1" x14ac:dyDescent="0.4">
      <c r="B14" s="25">
        <v>1</v>
      </c>
      <c r="C14" s="243" t="s">
        <v>60</v>
      </c>
      <c r="D14" s="243"/>
      <c r="E14" s="247" t="str">
        <f>TIPO_DE_SERVICO</f>
        <v>Vigilância</v>
      </c>
      <c r="F14" s="247"/>
    </row>
    <row r="15" spans="2:6" s="99" customFormat="1" x14ac:dyDescent="0.4">
      <c r="B15" s="25">
        <v>2</v>
      </c>
      <c r="C15" s="27" t="s">
        <v>59</v>
      </c>
      <c r="D15" s="246" t="str">
        <f>CBO</f>
        <v>5173-30</v>
      </c>
      <c r="E15" s="246"/>
      <c r="F15" s="246"/>
    </row>
    <row r="16" spans="2:6" s="98" customFormat="1" ht="15" customHeight="1" x14ac:dyDescent="0.4">
      <c r="B16" s="25">
        <v>3</v>
      </c>
      <c r="C16" s="56" t="s">
        <v>61</v>
      </c>
      <c r="D16" s="247" t="str">
        <f>CATEGORIA_PROFISSIONAL</f>
        <v>Vigilante</v>
      </c>
      <c r="E16" s="247"/>
      <c r="F16" s="247"/>
    </row>
    <row r="17" spans="2:6" s="98" customFormat="1" ht="15" customHeight="1" x14ac:dyDescent="0.4">
      <c r="B17" s="25">
        <v>4</v>
      </c>
      <c r="C17" s="248" t="s">
        <v>62</v>
      </c>
      <c r="D17" s="248"/>
      <c r="E17" s="248"/>
      <c r="F17" s="135">
        <f>DATA_BASE_CATEGORIA</f>
        <v>43831</v>
      </c>
    </row>
    <row r="18" spans="2:6" s="124" customFormat="1" ht="30" customHeight="1" x14ac:dyDescent="0.4">
      <c r="B18" s="322" t="s">
        <v>40</v>
      </c>
      <c r="C18" s="322"/>
      <c r="D18" s="322"/>
      <c r="E18" s="322"/>
      <c r="F18" s="322"/>
    </row>
    <row r="19" spans="2:6" x14ac:dyDescent="0.4">
      <c r="B19" s="260" t="s">
        <v>52</v>
      </c>
      <c r="C19" s="260"/>
      <c r="D19" s="260"/>
      <c r="E19" s="260"/>
      <c r="F19" s="117">
        <v>2</v>
      </c>
    </row>
    <row r="20" spans="2:6" x14ac:dyDescent="0.4">
      <c r="B20" s="51" t="s">
        <v>8</v>
      </c>
      <c r="E20" s="14"/>
      <c r="F20" s="14"/>
    </row>
    <row r="21" spans="2:6" x14ac:dyDescent="0.4">
      <c r="B21" s="1">
        <v>1</v>
      </c>
      <c r="C21" s="250" t="s">
        <v>9</v>
      </c>
      <c r="D21" s="250"/>
      <c r="E21" s="250"/>
      <c r="F21" s="4" t="s">
        <v>13</v>
      </c>
    </row>
    <row r="22" spans="2:6" x14ac:dyDescent="0.4">
      <c r="B22" s="1" t="s">
        <v>2</v>
      </c>
      <c r="C22" s="249" t="s">
        <v>92</v>
      </c>
      <c r="D22" s="249"/>
      <c r="E22" s="249"/>
      <c r="F22" s="57">
        <f>SALARIO_BASE</f>
        <v>1401.07</v>
      </c>
    </row>
    <row r="23" spans="2:6" x14ac:dyDescent="0.4">
      <c r="B23" s="1" t="s">
        <v>3</v>
      </c>
      <c r="C23" s="300" t="s">
        <v>94</v>
      </c>
      <c r="D23" s="300"/>
      <c r="E23" s="300"/>
      <c r="F23" s="10">
        <f>PERC_ADIC_PERIC%*SALARIO_BASE</f>
        <v>420.32</v>
      </c>
    </row>
    <row r="24" spans="2:6" ht="15.75" customHeight="1" x14ac:dyDescent="0.4">
      <c r="B24" s="1" t="s">
        <v>4</v>
      </c>
      <c r="C24" s="331" t="s">
        <v>83</v>
      </c>
      <c r="D24" s="331"/>
      <c r="E24" s="331"/>
      <c r="F24" s="57">
        <f>7*15.2*0.2*((AL_1_A_SAL_BASE_12X36_NOT+AL_1_B_ADIC_PERIC_12X36_NOT)/220)</f>
        <v>176.18</v>
      </c>
    </row>
    <row r="25" spans="2:6" ht="15.75" customHeight="1" x14ac:dyDescent="0.4">
      <c r="B25" s="1" t="s">
        <v>5</v>
      </c>
      <c r="C25" s="300" t="s">
        <v>87</v>
      </c>
      <c r="D25" s="300"/>
      <c r="E25" s="300"/>
      <c r="F25" s="237">
        <f>((AL_1_A_SAL_BASE_12X36_NOT+AL_1_B_ADIC_PERIC_12X36_NOT)/DIVISOR_DE_HORAS)*((HORA_NORMAL-HORA_NOTURNA)/HORA_NOTURNA)*DIAS_NA_SEMANA*MEDIA_ANUAL_DIAS_TRABALHO_MES*1.2*1.5</f>
        <v>226.51</v>
      </c>
    </row>
    <row r="26" spans="2:6" x14ac:dyDescent="0.4">
      <c r="B26" s="1" t="s">
        <v>6</v>
      </c>
      <c r="C26" s="275" t="str">
        <f>OUTROS_REMUNERACAO_1_DESCRICAO</f>
        <v>DSR - Adicional noturno - 1/6</v>
      </c>
      <c r="D26" s="276"/>
      <c r="E26" s="277"/>
      <c r="F26" s="57">
        <f>1/6*AL_1_C_ADIC_NOT_12X36_NOT</f>
        <v>29.36</v>
      </c>
    </row>
    <row r="27" spans="2:6" x14ac:dyDescent="0.4">
      <c r="B27" s="1" t="s">
        <v>7</v>
      </c>
      <c r="C27" s="305" t="str">
        <f>OUTROS_REMUNERACAO_2_DESCRICAO</f>
        <v>DSR - Hora noturna reduzida - 1/6</v>
      </c>
      <c r="D27" s="306"/>
      <c r="E27" s="307"/>
      <c r="F27" s="10">
        <f>1/6*AL_1_D_ADIC_NOT_RED_12X36_NOT</f>
        <v>37.75</v>
      </c>
    </row>
    <row r="28" spans="2:6" x14ac:dyDescent="0.4">
      <c r="B28" s="329" t="s">
        <v>46</v>
      </c>
      <c r="C28" s="329"/>
      <c r="D28" s="329"/>
      <c r="E28" s="329"/>
      <c r="F28" s="40">
        <f>SUM(F22:F27)</f>
        <v>2291.19</v>
      </c>
    </row>
    <row r="29" spans="2:6" x14ac:dyDescent="0.4">
      <c r="B29" s="51" t="s">
        <v>65</v>
      </c>
      <c r="E29" s="21"/>
      <c r="F29" s="21"/>
    </row>
    <row r="30" spans="2:6" x14ac:dyDescent="0.4">
      <c r="B30" s="51" t="s">
        <v>110</v>
      </c>
      <c r="C30" s="12"/>
      <c r="D30" s="22"/>
      <c r="E30" s="20"/>
      <c r="F30" s="20"/>
    </row>
    <row r="31" spans="2:6" x14ac:dyDescent="0.4">
      <c r="B31" s="1" t="s">
        <v>66</v>
      </c>
      <c r="C31" s="260" t="s">
        <v>93</v>
      </c>
      <c r="D31" s="260"/>
      <c r="E31" s="4" t="s">
        <v>1</v>
      </c>
      <c r="F31" s="4" t="s">
        <v>13</v>
      </c>
    </row>
    <row r="32" spans="2:6" x14ac:dyDescent="0.4">
      <c r="B32" s="1" t="s">
        <v>2</v>
      </c>
      <c r="C32" s="298" t="s">
        <v>47</v>
      </c>
      <c r="D32" s="298"/>
      <c r="E32" s="59">
        <f>PERC_DEC_TERC</f>
        <v>8.33</v>
      </c>
      <c r="F32" s="58">
        <f>PERC_DEC_TERC%*MOD_1_REMUNERACAO_12X36_NOT</f>
        <v>190.86</v>
      </c>
    </row>
    <row r="33" spans="2:9" s="17" customFormat="1" x14ac:dyDescent="0.4">
      <c r="B33" s="2" t="s">
        <v>3</v>
      </c>
      <c r="C33" s="300" t="s">
        <v>95</v>
      </c>
      <c r="D33" s="300"/>
      <c r="E33" s="38">
        <f>PERC_ADIC_FERIAS</f>
        <v>2.78</v>
      </c>
      <c r="F33" s="36">
        <f>PERC_ADIC_FERIAS%*MOD_1_REMUNERACAO_12X36_NOT</f>
        <v>63.7</v>
      </c>
    </row>
    <row r="34" spans="2:9" s="107" customFormat="1" x14ac:dyDescent="0.4">
      <c r="B34" s="268" t="s">
        <v>46</v>
      </c>
      <c r="C34" s="269"/>
      <c r="D34" s="269"/>
      <c r="E34" s="270"/>
      <c r="F34" s="41">
        <f>SUM(F32:F33)</f>
        <v>254.56</v>
      </c>
    </row>
    <row r="35" spans="2:9" s="107" customFormat="1" ht="31.5" customHeight="1" x14ac:dyDescent="0.4">
      <c r="B35" s="330" t="s">
        <v>68</v>
      </c>
      <c r="C35" s="330"/>
      <c r="D35" s="330"/>
      <c r="E35" s="330"/>
      <c r="F35" s="330"/>
    </row>
    <row r="36" spans="2:9" s="107" customFormat="1" ht="34.5" customHeight="1" x14ac:dyDescent="0.4">
      <c r="B36" s="1" t="s">
        <v>69</v>
      </c>
      <c r="C36" s="304" t="s">
        <v>96</v>
      </c>
      <c r="D36" s="304"/>
      <c r="E36" s="4" t="s">
        <v>1</v>
      </c>
      <c r="F36" s="4" t="s">
        <v>13</v>
      </c>
    </row>
    <row r="37" spans="2:9" x14ac:dyDescent="0.4">
      <c r="B37" s="1" t="s">
        <v>2</v>
      </c>
      <c r="C37" s="298" t="s">
        <v>41</v>
      </c>
      <c r="D37" s="298"/>
      <c r="E37" s="59">
        <f>PERC_INSS</f>
        <v>20</v>
      </c>
      <c r="F37" s="58">
        <f>PERC_INSS%*(MOD_1_REMUNERACAO_12X36_NOT+SUBMOD_2_1_DEC_TERC_ADIC_FERIAS_12X36_NOT)</f>
        <v>509.15</v>
      </c>
    </row>
    <row r="38" spans="2:9" s="98" customFormat="1" x14ac:dyDescent="0.25">
      <c r="B38" s="2" t="s">
        <v>3</v>
      </c>
      <c r="C38" s="300" t="s">
        <v>43</v>
      </c>
      <c r="D38" s="300"/>
      <c r="E38" s="46">
        <f>PERC_SAL_EDUCACAO</f>
        <v>2.5</v>
      </c>
      <c r="F38" s="36">
        <f>PERC_SAL_EDUCACAO%*(MOD_1_REMUNERACAO_12X36_NOT+SUBMOD_2_1_DEC_TERC_ADIC_FERIAS_12X36_NOT)</f>
        <v>63.64</v>
      </c>
    </row>
    <row r="39" spans="2:9" s="98" customFormat="1" x14ac:dyDescent="0.25">
      <c r="B39" s="2" t="s">
        <v>4</v>
      </c>
      <c r="C39" s="275" t="s">
        <v>236</v>
      </c>
      <c r="D39" s="276"/>
      <c r="E39" s="59">
        <f>PERC_RAT</f>
        <v>6</v>
      </c>
      <c r="F39" s="58">
        <f>PERC_RAT%*(MOD_1_REMUNERACAO_12X36_NOT+SUBMOD_2_1_DEC_TERC_ADIC_FERIAS_12X36_NOT)</f>
        <v>152.75</v>
      </c>
    </row>
    <row r="40" spans="2:9" s="98" customFormat="1" x14ac:dyDescent="0.25">
      <c r="B40" s="2" t="s">
        <v>5</v>
      </c>
      <c r="C40" s="300" t="s">
        <v>88</v>
      </c>
      <c r="D40" s="300"/>
      <c r="E40" s="38">
        <f>PERC_SESC</f>
        <v>1.5</v>
      </c>
      <c r="F40" s="36">
        <f>PERC_SESC%*(MOD_1_REMUNERACAO_12X36_NOT+SUBMOD_2_1_DEC_TERC_ADIC_FERIAS_12X36_NOT)</f>
        <v>38.19</v>
      </c>
      <c r="I40" s="143"/>
    </row>
    <row r="41" spans="2:9" s="98" customFormat="1" x14ac:dyDescent="0.25">
      <c r="B41" s="2" t="s">
        <v>6</v>
      </c>
      <c r="C41" s="298" t="s">
        <v>89</v>
      </c>
      <c r="D41" s="298"/>
      <c r="E41" s="59">
        <f>PERC_SENAC</f>
        <v>1</v>
      </c>
      <c r="F41" s="58">
        <f>PERC_SENAC%*(MOD_1_REMUNERACAO_12X36_NOT+SUBMOD_2_1_DEC_TERC_ADIC_FERIAS_12X36_NOT)</f>
        <v>25.46</v>
      </c>
    </row>
    <row r="42" spans="2:9" s="99" customFormat="1" x14ac:dyDescent="0.25">
      <c r="B42" s="2" t="s">
        <v>7</v>
      </c>
      <c r="C42" s="300" t="s">
        <v>45</v>
      </c>
      <c r="D42" s="300"/>
      <c r="E42" s="46">
        <f>PERC_SEBRAE</f>
        <v>0.6</v>
      </c>
      <c r="F42" s="36">
        <f>PERC_SEBRAE%*(MOD_1_REMUNERACAO_12X36_NOT+SUBMOD_2_1_DEC_TERC_ADIC_FERIAS_12X36_NOT)</f>
        <v>15.27</v>
      </c>
    </row>
    <row r="43" spans="2:9" s="99" customFormat="1" x14ac:dyDescent="0.25">
      <c r="B43" s="2" t="s">
        <v>10</v>
      </c>
      <c r="C43" s="298" t="s">
        <v>42</v>
      </c>
      <c r="D43" s="298"/>
      <c r="E43" s="59">
        <f>PERC_INCRA</f>
        <v>0.2</v>
      </c>
      <c r="F43" s="58">
        <f>PERC_INCRA%*(MOD_1_REMUNERACAO_12X36_NOT+SUBMOD_2_1_DEC_TERC_ADIC_FERIAS_12X36_NOT)</f>
        <v>5.09</v>
      </c>
    </row>
    <row r="44" spans="2:9" x14ac:dyDescent="0.4">
      <c r="B44" s="2" t="s">
        <v>11</v>
      </c>
      <c r="C44" s="300" t="s">
        <v>44</v>
      </c>
      <c r="D44" s="300"/>
      <c r="E44" s="46">
        <f>PERC_FGTS</f>
        <v>8</v>
      </c>
      <c r="F44" s="36">
        <f>PERC_FGTS%*(MOD_1_REMUNERACAO_12X36_NOT+SUBMOD_2_1_DEC_TERC_ADIC_FERIAS_12X36_NOT)</f>
        <v>203.66</v>
      </c>
    </row>
    <row r="45" spans="2:9" x14ac:dyDescent="0.4">
      <c r="B45" s="268" t="s">
        <v>46</v>
      </c>
      <c r="C45" s="269"/>
      <c r="D45" s="269"/>
      <c r="E45" s="270"/>
      <c r="F45" s="42">
        <f>SUM(F37:F44)</f>
        <v>1013.21</v>
      </c>
    </row>
    <row r="46" spans="2:9" ht="15.75" customHeight="1" x14ac:dyDescent="0.4">
      <c r="B46" s="51" t="s">
        <v>71</v>
      </c>
      <c r="C46" s="99"/>
      <c r="D46" s="99"/>
      <c r="E46" s="99"/>
      <c r="F46" s="99"/>
    </row>
    <row r="47" spans="2:9" ht="15.75" customHeight="1" x14ac:dyDescent="0.4">
      <c r="B47" s="1" t="s">
        <v>90</v>
      </c>
      <c r="C47" s="250" t="s">
        <v>14</v>
      </c>
      <c r="D47" s="250"/>
      <c r="E47" s="250"/>
      <c r="F47" s="4" t="s">
        <v>13</v>
      </c>
    </row>
    <row r="48" spans="2:9" x14ac:dyDescent="0.4">
      <c r="B48" s="25" t="s">
        <v>2</v>
      </c>
      <c r="C48" s="298" t="s">
        <v>15</v>
      </c>
      <c r="D48" s="298"/>
      <c r="E48" s="298"/>
      <c r="F48" s="58">
        <f>IF((((3.5*2)*DIAS_TRABALHADOS_NO_MES_12X36)-(PERC_DESC_TRANSP_REMUNERACAO%*(AL_1_A_SAL_BASE_12X36_NOT/2)))&gt;0,(((3.5*2)*DIAS_TRABALHADOS_NO_MES_12X36)-(PERC_DESC_TRANSP_REMUNERACAO%*(AL_1_A_SAL_BASE_12X36_NOT/2))),0)</f>
        <v>62.97</v>
      </c>
      <c r="G48" s="145"/>
    </row>
    <row r="49" spans="2:7" s="107" customFormat="1" x14ac:dyDescent="0.4">
      <c r="B49" s="25" t="s">
        <v>3</v>
      </c>
      <c r="C49" s="300" t="s">
        <v>70</v>
      </c>
      <c r="D49" s="300"/>
      <c r="E49" s="300"/>
      <c r="F49" s="36">
        <f>ALIMENTACAO_POR_DIA*DIAS_TRABALHADOS_NO_MES_12X36*0.99</f>
        <v>386.1</v>
      </c>
      <c r="G49" s="13"/>
    </row>
    <row r="50" spans="2:7" s="107" customFormat="1" x14ac:dyDescent="0.4">
      <c r="B50" s="25" t="s">
        <v>4</v>
      </c>
      <c r="C50" s="275" t="str">
        <f>OUTROS_BENEFICIOS_1_DESCRICAO</f>
        <v>Auxílio saúde</v>
      </c>
      <c r="D50" s="276"/>
      <c r="E50" s="277"/>
      <c r="F50" s="58"/>
      <c r="G50" s="13"/>
    </row>
    <row r="51" spans="2:7" s="107" customFormat="1" x14ac:dyDescent="0.4">
      <c r="B51" s="25" t="s">
        <v>5</v>
      </c>
      <c r="C51" s="305" t="str">
        <f>OUTROS_BENEFICIOS_2_DESCRICAO</f>
        <v>Auxílio morte/funeral</v>
      </c>
      <c r="D51" s="306"/>
      <c r="E51" s="307"/>
      <c r="F51" s="36"/>
      <c r="G51" s="13"/>
    </row>
    <row r="52" spans="2:7" s="107" customFormat="1" x14ac:dyDescent="0.4">
      <c r="B52" s="25" t="s">
        <v>6</v>
      </c>
      <c r="C52" s="275" t="str">
        <f>OUTROS_BENEFICIOS_3_DESCRICAO</f>
        <v>Seguro de vida</v>
      </c>
      <c r="D52" s="276"/>
      <c r="E52" s="277"/>
      <c r="F52" s="58"/>
    </row>
    <row r="53" spans="2:7" s="107" customFormat="1" ht="15" customHeight="1" x14ac:dyDescent="0.4">
      <c r="B53" s="329" t="s">
        <v>46</v>
      </c>
      <c r="C53" s="329"/>
      <c r="D53" s="329"/>
      <c r="E53" s="329"/>
      <c r="F53" s="40">
        <f>SUM(F48:F52)</f>
        <v>449.07</v>
      </c>
    </row>
    <row r="54" spans="2:7" s="107" customFormat="1" x14ac:dyDescent="0.4">
      <c r="B54" s="51" t="s">
        <v>72</v>
      </c>
      <c r="C54" s="12"/>
      <c r="D54" s="22"/>
      <c r="E54" s="20"/>
      <c r="F54" s="20"/>
    </row>
    <row r="55" spans="2:7" s="107" customFormat="1" ht="15" customHeight="1" x14ac:dyDescent="0.4">
      <c r="B55" s="1">
        <v>3</v>
      </c>
      <c r="C55" s="260" t="s">
        <v>48</v>
      </c>
      <c r="D55" s="260"/>
      <c r="E55" s="4" t="s">
        <v>1</v>
      </c>
      <c r="F55" s="4" t="s">
        <v>13</v>
      </c>
    </row>
    <row r="56" spans="2:7" s="107" customFormat="1" x14ac:dyDescent="0.4">
      <c r="B56" s="1" t="s">
        <v>2</v>
      </c>
      <c r="C56" s="301" t="s">
        <v>49</v>
      </c>
      <c r="D56" s="301"/>
      <c r="E56" s="59">
        <f>PERC_AVISO_PREVIO_IND</f>
        <v>0.28999999999999998</v>
      </c>
      <c r="F56" s="58">
        <f>PERC_AVISO_PREVIO_IND%*(MOD_1_REMUNERACAO_12X36_NOT+SUBMOD_2_1_DEC_TERC_ADIC_FERIAS_12X36_NOT+AL_2_2_FGTS_12X36_NOT+SUBMOD_2_3_BENEFICIOS_12X36_NOT)</f>
        <v>9.2799999999999994</v>
      </c>
    </row>
    <row r="57" spans="2:7" s="107" customFormat="1" x14ac:dyDescent="0.4">
      <c r="B57" s="2" t="s">
        <v>3</v>
      </c>
      <c r="C57" s="303" t="s">
        <v>50</v>
      </c>
      <c r="D57" s="303"/>
      <c r="E57" s="46">
        <f>PERC_AVISO_PREVIO_TRAB</f>
        <v>1.1599999999999999</v>
      </c>
      <c r="F57" s="36">
        <f>PERC_AVISO_PREVIO_TRAB%*(MOD_1_REMUNERACAO_12X36_NOT+SUBMOD_2_1_DEC_TERC_ADIC_FERIAS_12X36_NOT+SUBMOD_2_2_GPS_FGTS_12X36_NOT+SUBMOD_2_3_BENEFICIOS_12X36_NOT)</f>
        <v>46.49</v>
      </c>
    </row>
    <row r="58" spans="2:7" s="98" customFormat="1" x14ac:dyDescent="0.25">
      <c r="B58" s="2" t="s">
        <v>4</v>
      </c>
      <c r="C58" s="301" t="s">
        <v>232</v>
      </c>
      <c r="D58" s="301"/>
      <c r="E58" s="59">
        <f>PERC_MULTA_FGTS_AV_PREV_TRAB</f>
        <v>0.04</v>
      </c>
      <c r="F58" s="58">
        <f>PERC_MULTA_FGTS_AV_PREV_TRAB%*(MOD_1_REMUNERACAO_12X36_NOT+SUBMOD_2_1_DEC_TERC_ADIC_FERIAS_12X36_NOT)</f>
        <v>1.02</v>
      </c>
    </row>
    <row r="59" spans="2:7" s="98" customFormat="1" x14ac:dyDescent="0.4">
      <c r="B59" s="268" t="s">
        <v>46</v>
      </c>
      <c r="C59" s="269"/>
      <c r="D59" s="269"/>
      <c r="E59" s="270"/>
      <c r="F59" s="41">
        <f>SUM(F56:F58)</f>
        <v>56.79</v>
      </c>
    </row>
    <row r="60" spans="2:7" ht="7.5" customHeight="1" x14ac:dyDescent="0.4">
      <c r="B60" s="16"/>
      <c r="C60" s="17"/>
      <c r="D60" s="18"/>
      <c r="E60" s="14"/>
      <c r="F60" s="14"/>
    </row>
    <row r="61" spans="2:7" s="98" customFormat="1" ht="15.9" customHeight="1" x14ac:dyDescent="0.4">
      <c r="B61" s="51" t="s">
        <v>73</v>
      </c>
      <c r="C61" s="12"/>
      <c r="D61" s="22"/>
      <c r="E61" s="13"/>
      <c r="F61" s="13"/>
    </row>
    <row r="62" spans="2:7" s="98" customFormat="1" ht="15.9" customHeight="1" x14ac:dyDescent="0.4">
      <c r="B62" s="51" t="s">
        <v>102</v>
      </c>
      <c r="C62" s="12"/>
      <c r="D62" s="22"/>
      <c r="E62" s="20"/>
      <c r="F62" s="20"/>
    </row>
    <row r="63" spans="2:7" s="98" customFormat="1" x14ac:dyDescent="0.25">
      <c r="B63" s="1" t="s">
        <v>18</v>
      </c>
      <c r="C63" s="302" t="s">
        <v>103</v>
      </c>
      <c r="D63" s="302"/>
      <c r="E63" s="4" t="s">
        <v>1</v>
      </c>
      <c r="F63" s="4" t="s">
        <v>13</v>
      </c>
    </row>
    <row r="64" spans="2:7" s="98" customFormat="1" ht="15.9" customHeight="1" x14ac:dyDescent="0.25">
      <c r="B64" s="2" t="s">
        <v>2</v>
      </c>
      <c r="C64" s="298" t="s">
        <v>104</v>
      </c>
      <c r="D64" s="298"/>
      <c r="E64" s="59">
        <f>PERC_SUBSTITUTO_FERIAS</f>
        <v>8.33</v>
      </c>
      <c r="F64" s="58">
        <f>PERC_SUBSTITUTO_FERIAS%*(MOD_1_REMUNERACAO_12X36_NOT+MOD_2_ENCARGOS_BENEFICIOS_12X36_NOT+MOD_3_PROVISAO_RESCISAO_12X36_NOT)</f>
        <v>338.6</v>
      </c>
    </row>
    <row r="65" spans="2:7" s="98" customFormat="1" ht="15.9" customHeight="1" x14ac:dyDescent="0.25">
      <c r="B65" s="2" t="s">
        <v>3</v>
      </c>
      <c r="C65" s="300" t="s">
        <v>105</v>
      </c>
      <c r="D65" s="300"/>
      <c r="E65" s="46">
        <f>PERC_SUBSTITUTO_AUSENCIAS_LEGAIS</f>
        <v>2.2200000000000002</v>
      </c>
      <c r="F65" s="36">
        <f>PERC_SUBSTITUTO_AUSENCIAS_LEGAIS%*(MOD_1_REMUNERACAO_12X36_NOT+MOD_2_ENCARGOS_BENEFICIOS_12X36_NOT+MOD_3_PROVISAO_RESCISAO_12X36_NOT)</f>
        <v>90.24</v>
      </c>
    </row>
    <row r="66" spans="2:7" s="98" customFormat="1" ht="15.9" customHeight="1" x14ac:dyDescent="0.25">
      <c r="B66" s="2" t="s">
        <v>4</v>
      </c>
      <c r="C66" s="298" t="s">
        <v>106</v>
      </c>
      <c r="D66" s="298"/>
      <c r="E66" s="59">
        <f>PERC_SUBSTITUTO_LICENCA_PATERNIDADE</f>
        <v>7.0000000000000007E-2</v>
      </c>
      <c r="F66" s="58">
        <f>PERC_SUBSTITUTO_LICENCA_PATERNIDADE%*(MOD_1_REMUNERACAO_12X36_NOT+MOD_2_ENCARGOS_BENEFICIOS_12X36_NOT+MOD_3_PROVISAO_RESCISAO_12X36_NOT)</f>
        <v>2.85</v>
      </c>
    </row>
    <row r="67" spans="2:7" s="98" customFormat="1" x14ac:dyDescent="0.25">
      <c r="B67" s="2" t="s">
        <v>5</v>
      </c>
      <c r="C67" s="300" t="s">
        <v>107</v>
      </c>
      <c r="D67" s="300"/>
      <c r="E67" s="46">
        <f>PERC_SUBSTITUTO_ACID_TRAB</f>
        <v>0.02</v>
      </c>
      <c r="F67" s="36">
        <f>PERC_SUBSTITUTO_ACID_TRAB%*(MOD_1_REMUNERACAO_12X36_NOT+MOD_2_ENCARGOS_BENEFICIOS_12X36_NOT+MOD_3_PROVISAO_RESCISAO_12X36_NOT)</f>
        <v>0.81</v>
      </c>
    </row>
    <row r="68" spans="2:7" s="98" customFormat="1" x14ac:dyDescent="0.25">
      <c r="B68" s="2" t="s">
        <v>6</v>
      </c>
      <c r="C68" s="298" t="s">
        <v>108</v>
      </c>
      <c r="D68" s="298"/>
      <c r="E68" s="59">
        <f>PERC_SUBSTITUTO_AFAST_MATERN</f>
        <v>0.04</v>
      </c>
      <c r="F68" s="58">
        <f>PERC_SUBSTITUTO_AFAST_MATERN%*(MOD_1_REMUNERACAO_12X36_NOT+MOD_2_ENCARGOS_BENEFICIOS_12X36_NOT+MOD_3_PROVISAO_RESCISAO_12X36_NOT)</f>
        <v>1.63</v>
      </c>
    </row>
    <row r="69" spans="2:7" s="98" customFormat="1" x14ac:dyDescent="0.25">
      <c r="B69" s="2" t="s">
        <v>7</v>
      </c>
      <c r="C69" s="325" t="str">
        <f>OUTRAS_AUSENCIAS_DESCRICAO</f>
        <v>Outras Ausências (Especificar - em %)</v>
      </c>
      <c r="D69" s="300"/>
      <c r="E69" s="53">
        <f>PERC_SUBSTITUTO_OUTRAS_AUSENCIAS</f>
        <v>0</v>
      </c>
      <c r="F69" s="36">
        <f>PERC_SUBSTITUTO_OUTRAS_AUSENCIAS%*(MOD_1_REMUNERACAO_12X36_NOT+MOD_2_ENCARGOS_BENEFICIOS_12X36_NOT+MOD_3_PROVISAO_RESCISAO_12X36_NOT)</f>
        <v>0</v>
      </c>
    </row>
    <row r="70" spans="2:7" s="98" customFormat="1" x14ac:dyDescent="0.4">
      <c r="B70" s="268" t="s">
        <v>46</v>
      </c>
      <c r="C70" s="269"/>
      <c r="D70" s="269"/>
      <c r="E70" s="270"/>
      <c r="F70" s="41">
        <f>SUM(F64:F69)</f>
        <v>434.13</v>
      </c>
    </row>
    <row r="71" spans="2:7" s="98" customFormat="1" ht="15" customHeight="1" x14ac:dyDescent="0.4">
      <c r="B71" s="51" t="s">
        <v>226</v>
      </c>
      <c r="C71" s="12"/>
      <c r="D71" s="22"/>
      <c r="E71" s="20"/>
      <c r="F71" s="20"/>
    </row>
    <row r="72" spans="2:7" s="98" customFormat="1" x14ac:dyDescent="0.25">
      <c r="B72" s="1" t="s">
        <v>19</v>
      </c>
      <c r="C72" s="260" t="s">
        <v>225</v>
      </c>
      <c r="D72" s="260"/>
      <c r="E72" s="260"/>
      <c r="F72" s="4" t="s">
        <v>13</v>
      </c>
    </row>
    <row r="73" spans="2:7" s="98" customFormat="1" ht="16.5" customHeight="1" x14ac:dyDescent="0.25">
      <c r="B73" s="1" t="s">
        <v>2</v>
      </c>
      <c r="C73" s="298" t="s">
        <v>109</v>
      </c>
      <c r="D73" s="298"/>
      <c r="E73" s="298"/>
      <c r="F73" s="57">
        <f>((MOD_1_REMUNERACAO_12X36_NOT+MOD_2_ENCARGOS_BENEFICIOS_12X36_NOT+MOD_3_PROVISAO_RESCISAO_12X36_NOT)/DIVISOR_DE_HORAS)*((TEMPO_INTERVALO_REFEICAO/HORA_NORMAL))*DIAS_TRABALHADOS_NO_MES_12X36</f>
        <v>277.14999999999998</v>
      </c>
      <c r="G73" s="141"/>
    </row>
    <row r="74" spans="2:7" s="98" customFormat="1" x14ac:dyDescent="0.4">
      <c r="B74" s="260" t="s">
        <v>46</v>
      </c>
      <c r="C74" s="260"/>
      <c r="D74" s="260"/>
      <c r="E74" s="260"/>
      <c r="F74" s="41">
        <f>SUM(F73:F73)</f>
        <v>277.14999999999998</v>
      </c>
    </row>
    <row r="75" spans="2:7" ht="7.5" customHeight="1" x14ac:dyDescent="0.4">
      <c r="B75" s="16"/>
      <c r="C75" s="17"/>
      <c r="D75" s="18"/>
      <c r="E75" s="14"/>
      <c r="F75" s="14"/>
    </row>
    <row r="76" spans="2:7" x14ac:dyDescent="0.4">
      <c r="B76" s="51" t="s">
        <v>77</v>
      </c>
      <c r="C76" s="12"/>
      <c r="D76" s="12"/>
      <c r="E76" s="20"/>
      <c r="F76" s="20"/>
    </row>
    <row r="77" spans="2:7" ht="15.75" customHeight="1" x14ac:dyDescent="0.4">
      <c r="B77" s="49">
        <v>5</v>
      </c>
      <c r="C77" s="271" t="s">
        <v>0</v>
      </c>
      <c r="D77" s="271"/>
      <c r="E77" s="271"/>
      <c r="F77" s="50" t="s">
        <v>13</v>
      </c>
    </row>
    <row r="78" spans="2:7" x14ac:dyDescent="0.4">
      <c r="B78" s="44" t="s">
        <v>2</v>
      </c>
      <c r="C78" s="272" t="s">
        <v>16</v>
      </c>
      <c r="D78" s="272"/>
      <c r="E78" s="272"/>
      <c r="F78" s="60">
        <f>UNIFORMES</f>
        <v>244.71</v>
      </c>
    </row>
    <row r="79" spans="2:7" x14ac:dyDescent="0.4">
      <c r="B79" s="44" t="s">
        <v>3</v>
      </c>
      <c r="C79" s="273" t="s">
        <v>285</v>
      </c>
      <c r="D79" s="273"/>
      <c r="E79" s="273"/>
      <c r="F79" s="47">
        <f>MATERIAIS</f>
        <v>77.400000000000006</v>
      </c>
    </row>
    <row r="80" spans="2:7" x14ac:dyDescent="0.4">
      <c r="B80" s="44" t="s">
        <v>4</v>
      </c>
      <c r="C80" s="272" t="s">
        <v>286</v>
      </c>
      <c r="D80" s="272"/>
      <c r="E80" s="272"/>
      <c r="F80" s="60">
        <f>EQUIPAMENTOS</f>
        <v>8.09</v>
      </c>
    </row>
    <row r="81" spans="2:6" x14ac:dyDescent="0.4">
      <c r="B81" s="44" t="s">
        <v>5</v>
      </c>
      <c r="C81" s="324" t="str">
        <f>OUTROS_INSUMOS_DESCRICAO</f>
        <v>Outros (Especificar)</v>
      </c>
      <c r="D81" s="273"/>
      <c r="E81" s="273"/>
      <c r="F81" s="47">
        <f>OUTROS_INSUMOS</f>
        <v>0</v>
      </c>
    </row>
    <row r="82" spans="2:6" x14ac:dyDescent="0.4">
      <c r="B82" s="328" t="s">
        <v>46</v>
      </c>
      <c r="C82" s="328"/>
      <c r="D82" s="328"/>
      <c r="E82" s="328"/>
      <c r="F82" s="43">
        <f>SUM(F78:F81)</f>
        <v>330.2</v>
      </c>
    </row>
    <row r="83" spans="2:6" ht="7.5" customHeight="1" x14ac:dyDescent="0.4">
      <c r="B83" s="16"/>
      <c r="C83" s="17"/>
      <c r="D83" s="18"/>
      <c r="E83" s="14"/>
      <c r="F83" s="14"/>
    </row>
    <row r="84" spans="2:6" ht="15" customHeight="1" x14ac:dyDescent="0.4">
      <c r="B84" s="264" t="s">
        <v>76</v>
      </c>
      <c r="C84" s="264"/>
      <c r="D84" s="264"/>
      <c r="E84" s="264"/>
      <c r="F84" s="264"/>
    </row>
    <row r="85" spans="2:6" x14ac:dyDescent="0.4">
      <c r="B85" s="1">
        <v>6</v>
      </c>
      <c r="C85" s="260" t="s">
        <v>20</v>
      </c>
      <c r="D85" s="260"/>
      <c r="E85" s="4" t="s">
        <v>1</v>
      </c>
      <c r="F85" s="4" t="s">
        <v>13</v>
      </c>
    </row>
    <row r="86" spans="2:6" x14ac:dyDescent="0.4">
      <c r="B86" s="1" t="s">
        <v>2</v>
      </c>
      <c r="C86" s="298" t="s">
        <v>78</v>
      </c>
      <c r="D86" s="298"/>
      <c r="E86" s="61">
        <f>PERC_CUSTOS_INDIRETOS</f>
        <v>4.8499999999999996</v>
      </c>
      <c r="F86" s="58">
        <f>PERC_CUSTOS_INDIRETOS%*(MOD_1_REMUNERACAO_12X36_NOT+MOD_2_ENCARGOS_BENEFICIOS_12X36_NOT+MOD_3_PROVISAO_RESCISAO_12X36_NOT+MOD_4_CUSTO_REPOSICAO_12X36_NOT+MOD_5_INSUMOS_12X36_NOT)</f>
        <v>247.66</v>
      </c>
    </row>
    <row r="87" spans="2:6" ht="15.75" customHeight="1" x14ac:dyDescent="0.4">
      <c r="B87" s="2" t="s">
        <v>3</v>
      </c>
      <c r="C87" s="300" t="s">
        <v>32</v>
      </c>
      <c r="D87" s="300"/>
      <c r="E87" s="48">
        <f>PERC_LUCRO</f>
        <v>5.45</v>
      </c>
      <c r="F87" s="36">
        <f>PERC_LUCRO%*(MOD_1_REMUNERACAO_12X36_NOT+MOD_2_ENCARGOS_BENEFICIOS_12X36_NOT+MOD_3_PROVISAO_RESCISAO_12X36_NOT+MOD_4_CUSTO_REPOSICAO_12X36_NOT+MOD_5_INSUMOS_12X36_NOT+AL_6_A_CUSTOS_INDIRETOS_12X36_NOT)</f>
        <v>291.79000000000002</v>
      </c>
    </row>
    <row r="88" spans="2:6" x14ac:dyDescent="0.4">
      <c r="B88" s="2" t="s">
        <v>4</v>
      </c>
      <c r="C88" s="298" t="s">
        <v>21</v>
      </c>
      <c r="D88" s="298"/>
      <c r="E88" s="61">
        <f>SUM(E89:E91)</f>
        <v>8.65</v>
      </c>
      <c r="F88" s="58">
        <f>SUM(F89:F91)</f>
        <v>534.6</v>
      </c>
    </row>
    <row r="89" spans="2:6" ht="15.75" customHeight="1" x14ac:dyDescent="0.4">
      <c r="B89" s="30" t="s">
        <v>79</v>
      </c>
      <c r="C89" s="326" t="s">
        <v>23</v>
      </c>
      <c r="D89" s="326"/>
      <c r="E89" s="31">
        <f>PERC_PIS</f>
        <v>0.65</v>
      </c>
      <c r="F89" s="63">
        <f>((MOD_1_REMUNERACAO_12X36_NOT+MOD_2_ENCARGOS_BENEFICIOS_12X36_NOT+MOD_3_PROVISAO_RESCISAO_12X36_NOT+MOD_4_CUSTO_REPOSICAO_12X36_NOT+MOD_5_INSUMOS_12X36_NOT+AL_6_A_CUSTOS_INDIRETOS_12X36_NOT+AL_6_B_LUCRO_12X36_NOT)*PERC_PIS%)/(1-PERC_TRIBUTOS%)</f>
        <v>40.17</v>
      </c>
    </row>
    <row r="90" spans="2:6" x14ac:dyDescent="0.4">
      <c r="B90" s="30" t="s">
        <v>80</v>
      </c>
      <c r="C90" s="327" t="s">
        <v>24</v>
      </c>
      <c r="D90" s="327"/>
      <c r="E90" s="62">
        <f>PERC_COFINS</f>
        <v>3</v>
      </c>
      <c r="F90" s="64">
        <f>((MOD_1_REMUNERACAO_12X36_NOT+MOD_2_ENCARGOS_BENEFICIOS_12X36_NOT+MOD_3_PROVISAO_RESCISAO_12X36_NOT+MOD_4_CUSTO_REPOSICAO_12X36_NOT+MOD_5_INSUMOS_12X36_NOT+AL_6_A_CUSTOS_INDIRETOS_12X36_NOT+AL_6_B_LUCRO_12X36_NOT)*PERC_COFINS%)/(1-PERC_TRIBUTOS%)</f>
        <v>185.41</v>
      </c>
    </row>
    <row r="91" spans="2:6" s="108" customFormat="1" x14ac:dyDescent="0.4">
      <c r="B91" s="30" t="s">
        <v>81</v>
      </c>
      <c r="C91" s="326" t="s">
        <v>25</v>
      </c>
      <c r="D91" s="326"/>
      <c r="E91" s="31">
        <f>PERC_ISS</f>
        <v>5</v>
      </c>
      <c r="F91" s="63">
        <f>((MOD_1_REMUNERACAO_12X36_NOT+MOD_2_ENCARGOS_BENEFICIOS_12X36_NOT+MOD_3_PROVISAO_RESCISAO_12X36_NOT+MOD_4_CUSTO_REPOSICAO_12X36_NOT+MOD_5_INSUMOS_12X36_NOT+AL_6_A_CUSTOS_INDIRETOS_12X36_NOT+AL_6_B_LUCRO_12X36_NOT)*PERC_ISS%)/(1-PERC_TRIBUTOS%)</f>
        <v>309.02</v>
      </c>
    </row>
    <row r="92" spans="2:6" s="108" customFormat="1" x14ac:dyDescent="0.4">
      <c r="B92" s="268" t="s">
        <v>46</v>
      </c>
      <c r="C92" s="269"/>
      <c r="D92" s="269"/>
      <c r="E92" s="270"/>
      <c r="F92" s="37">
        <f>AL_6_A_CUSTOS_INDIRETOS_12X36_NOT+AL_6_B_LUCRO_12X36_NOT+AL_6_C_TRIBUTOS_12X36_NOT</f>
        <v>1074.05</v>
      </c>
    </row>
    <row r="93" spans="2:6" s="108" customFormat="1" x14ac:dyDescent="0.4">
      <c r="B93" s="264" t="s">
        <v>261</v>
      </c>
      <c r="C93" s="264"/>
      <c r="D93" s="264"/>
      <c r="E93" s="264"/>
      <c r="F93" s="264"/>
    </row>
    <row r="94" spans="2:6" s="108" customFormat="1" x14ac:dyDescent="0.4">
      <c r="B94" s="147" t="s">
        <v>2</v>
      </c>
      <c r="C94" s="275" t="str">
        <f>'INSERÇÃO-DE-DADOS'!C86:E86</f>
        <v>Dia do Vigilante - Clausula 82ª CCT - Jornada 12x36 noturno</v>
      </c>
      <c r="D94" s="276"/>
      <c r="E94" s="277"/>
      <c r="F94" s="57">
        <f>'INSERÇÃO-DE-DADOS'!F86</f>
        <v>11.69</v>
      </c>
    </row>
    <row r="95" spans="2:6" s="108" customFormat="1" ht="20.399999999999999" x14ac:dyDescent="0.4">
      <c r="B95" s="52" t="s">
        <v>53</v>
      </c>
      <c r="C95" s="15"/>
      <c r="D95" s="15"/>
      <c r="E95" s="15"/>
      <c r="F95" s="23"/>
    </row>
    <row r="96" spans="2:6" s="109" customFormat="1" ht="16.5" customHeight="1" x14ac:dyDescent="0.4">
      <c r="B96" s="2" t="s">
        <v>98</v>
      </c>
      <c r="C96" s="257" t="s">
        <v>99</v>
      </c>
      <c r="D96" s="258"/>
      <c r="E96" s="259"/>
      <c r="F96" s="4" t="s">
        <v>17</v>
      </c>
    </row>
    <row r="97" spans="2:6" s="108" customFormat="1" x14ac:dyDescent="0.4">
      <c r="B97" s="1">
        <v>1</v>
      </c>
      <c r="C97" s="298" t="s">
        <v>9</v>
      </c>
      <c r="D97" s="298"/>
      <c r="E97" s="298"/>
      <c r="F97" s="58">
        <f>MOD_1_REMUNERACAO_12X36_NOT</f>
        <v>2291.19</v>
      </c>
    </row>
    <row r="98" spans="2:6" s="110" customFormat="1" ht="16.5" customHeight="1" x14ac:dyDescent="0.4">
      <c r="B98" s="2">
        <v>2</v>
      </c>
      <c r="C98" s="300" t="s">
        <v>100</v>
      </c>
      <c r="D98" s="300"/>
      <c r="E98" s="300"/>
      <c r="F98" s="36">
        <f>MOD_2_ENCARGOS_BENEFICIOS_12X36_NOT</f>
        <v>1716.84</v>
      </c>
    </row>
    <row r="99" spans="2:6" s="110" customFormat="1" x14ac:dyDescent="0.4">
      <c r="B99" s="2">
        <v>3</v>
      </c>
      <c r="C99" s="298" t="s">
        <v>48</v>
      </c>
      <c r="D99" s="298"/>
      <c r="E99" s="298"/>
      <c r="F99" s="58">
        <f>MOD_3_PROVISAO_RESCISAO_12X36_NOT</f>
        <v>56.79</v>
      </c>
    </row>
    <row r="100" spans="2:6" s="110" customFormat="1" x14ac:dyDescent="0.4">
      <c r="B100" s="2">
        <v>4</v>
      </c>
      <c r="C100" s="300" t="s">
        <v>51</v>
      </c>
      <c r="D100" s="300"/>
      <c r="E100" s="300"/>
      <c r="F100" s="36">
        <f>MOD_4_CUSTO_REPOSICAO_12X36_NOT</f>
        <v>711.28</v>
      </c>
    </row>
    <row r="101" spans="2:6" s="110" customFormat="1" x14ac:dyDescent="0.4">
      <c r="B101" s="2">
        <v>5</v>
      </c>
      <c r="C101" s="298" t="s">
        <v>0</v>
      </c>
      <c r="D101" s="298"/>
      <c r="E101" s="298"/>
      <c r="F101" s="58">
        <f>MOD_5_INSUMOS_12X36_NOT</f>
        <v>330.2</v>
      </c>
    </row>
    <row r="102" spans="2:6" s="110" customFormat="1" x14ac:dyDescent="0.4">
      <c r="B102" s="2">
        <v>6</v>
      </c>
      <c r="C102" s="300" t="s">
        <v>20</v>
      </c>
      <c r="D102" s="300"/>
      <c r="E102" s="300"/>
      <c r="F102" s="36">
        <f>MOD_6_CUSTOS_IND_LUCRO_TRIB_12X36_NOT</f>
        <v>1074.05</v>
      </c>
    </row>
    <row r="103" spans="2:6" s="110" customFormat="1" ht="19.5" customHeight="1" x14ac:dyDescent="0.4">
      <c r="B103" s="2">
        <v>7</v>
      </c>
      <c r="C103" s="305" t="str">
        <f>C94</f>
        <v>Dia do Vigilante - Clausula 82ª CCT - Jornada 12x36 noturno</v>
      </c>
      <c r="D103" s="306"/>
      <c r="E103" s="307"/>
      <c r="F103" s="36">
        <f>F94</f>
        <v>11.69</v>
      </c>
    </row>
    <row r="104" spans="2:6" ht="16.5" customHeight="1" x14ac:dyDescent="0.4">
      <c r="B104" s="302" t="s">
        <v>101</v>
      </c>
      <c r="C104" s="302"/>
      <c r="D104" s="302"/>
      <c r="E104" s="302"/>
      <c r="F104" s="37">
        <f>SUM(F97:F103)</f>
        <v>6192.04</v>
      </c>
    </row>
    <row r="105" spans="2:6" ht="16.5" customHeight="1" x14ac:dyDescent="0.4">
      <c r="B105" s="302" t="s">
        <v>30</v>
      </c>
      <c r="C105" s="302"/>
      <c r="D105" s="302"/>
      <c r="E105" s="302"/>
      <c r="F105" s="37">
        <f>VALOR_TOTAL_EMPREGADO_12x36_NOT*EMPREG_POR_POSTO_12X36_NOT</f>
        <v>12384.08</v>
      </c>
    </row>
  </sheetData>
  <mergeCells count="94">
    <mergeCell ref="B93:F93"/>
    <mergeCell ref="C94:E94"/>
    <mergeCell ref="C103:E103"/>
    <mergeCell ref="C102:E102"/>
    <mergeCell ref="B104:E104"/>
    <mergeCell ref="B105:E105"/>
    <mergeCell ref="C96:E96"/>
    <mergeCell ref="C97:E97"/>
    <mergeCell ref="C98:E98"/>
    <mergeCell ref="C99:E99"/>
    <mergeCell ref="C100:E100"/>
    <mergeCell ref="C101:E101"/>
    <mergeCell ref="B92:E92"/>
    <mergeCell ref="C80:E80"/>
    <mergeCell ref="C81:E81"/>
    <mergeCell ref="B82:E82"/>
    <mergeCell ref="B84:F84"/>
    <mergeCell ref="C85:D85"/>
    <mergeCell ref="C86:D86"/>
    <mergeCell ref="C87:D87"/>
    <mergeCell ref="C88:D88"/>
    <mergeCell ref="C89:D89"/>
    <mergeCell ref="C90:D90"/>
    <mergeCell ref="C91:D91"/>
    <mergeCell ref="C79:E79"/>
    <mergeCell ref="C66:D66"/>
    <mergeCell ref="C67:D67"/>
    <mergeCell ref="C68:D68"/>
    <mergeCell ref="C69:D69"/>
    <mergeCell ref="B70:E70"/>
    <mergeCell ref="C72:E72"/>
    <mergeCell ref="C73:E73"/>
    <mergeCell ref="B74:E74"/>
    <mergeCell ref="C77:E77"/>
    <mergeCell ref="C78:E78"/>
    <mergeCell ref="C65:D65"/>
    <mergeCell ref="C50:E50"/>
    <mergeCell ref="C51:E51"/>
    <mergeCell ref="C52:E52"/>
    <mergeCell ref="B53:E53"/>
    <mergeCell ref="C55:D55"/>
    <mergeCell ref="C56:D56"/>
    <mergeCell ref="C57:D57"/>
    <mergeCell ref="C58:D58"/>
    <mergeCell ref="B59:E59"/>
    <mergeCell ref="C63:D63"/>
    <mergeCell ref="C64:D64"/>
    <mergeCell ref="C49:E49"/>
    <mergeCell ref="C37:D37"/>
    <mergeCell ref="C38:D38"/>
    <mergeCell ref="C39:D39"/>
    <mergeCell ref="C40:D40"/>
    <mergeCell ref="C41:D41"/>
    <mergeCell ref="C42:D42"/>
    <mergeCell ref="C43:D43"/>
    <mergeCell ref="C44:D44"/>
    <mergeCell ref="B45:E45"/>
    <mergeCell ref="C47:E47"/>
    <mergeCell ref="C48:E48"/>
    <mergeCell ref="C36:D36"/>
    <mergeCell ref="C24:E24"/>
    <mergeCell ref="C25:E25"/>
    <mergeCell ref="C26:E26"/>
    <mergeCell ref="C27:E27"/>
    <mergeCell ref="B28:E28"/>
    <mergeCell ref="C31:D31"/>
    <mergeCell ref="C32:D32"/>
    <mergeCell ref="C33:D33"/>
    <mergeCell ref="B34:E34"/>
    <mergeCell ref="B35:F35"/>
    <mergeCell ref="C23:E23"/>
    <mergeCell ref="C11:E11"/>
    <mergeCell ref="C12:E12"/>
    <mergeCell ref="C14:D14"/>
    <mergeCell ref="E14:F14"/>
    <mergeCell ref="D15:F15"/>
    <mergeCell ref="D16:F16"/>
    <mergeCell ref="C17:E17"/>
    <mergeCell ref="B18:F18"/>
    <mergeCell ref="B19:E19"/>
    <mergeCell ref="C21:E21"/>
    <mergeCell ref="C22:E22"/>
    <mergeCell ref="C10:E10"/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05"/>
  <sheetViews>
    <sheetView topLeftCell="A69" zoomScaleNormal="100" zoomScaleSheetLayoutView="100" workbookViewId="0">
      <selection activeCell="F78" sqref="F78"/>
    </sheetView>
  </sheetViews>
  <sheetFormatPr defaultColWidth="9.109375" defaultRowHeight="16.8" x14ac:dyDescent="0.4"/>
  <cols>
    <col min="1" max="1" width="2.6640625" style="13" customWidth="1"/>
    <col min="2" max="2" width="8.88671875" style="13" customWidth="1"/>
    <col min="3" max="3" width="52.5546875" style="19" customWidth="1"/>
    <col min="4" max="4" width="7.88671875" style="19" customWidth="1"/>
    <col min="5" max="5" width="13.5546875" style="19" customWidth="1"/>
    <col min="6" max="6" width="15.44140625" style="19" bestFit="1" customWidth="1"/>
    <col min="7" max="7" width="15.44140625" style="13" customWidth="1"/>
    <col min="8" max="8" width="65.33203125" style="13" customWidth="1"/>
    <col min="9" max="10" width="12.5546875" style="13" bestFit="1" customWidth="1"/>
    <col min="11" max="16384" width="9.109375" style="13"/>
  </cols>
  <sheetData>
    <row r="1" spans="2:6" ht="20.399999999999999" x14ac:dyDescent="0.45">
      <c r="B1" s="313" t="str">
        <f>RAMO</f>
        <v>RAMO: MINISTÉRIO PÚBLIC FEDERAL</v>
      </c>
      <c r="C1" s="314"/>
      <c r="D1" s="314"/>
      <c r="E1" s="314"/>
      <c r="F1" s="315"/>
    </row>
    <row r="2" spans="2:6" ht="20.399999999999999" x14ac:dyDescent="0.45">
      <c r="B2" s="316" t="str">
        <f>UG</f>
        <v>UNIDADE GESTORA (SIGLA): PR-PA</v>
      </c>
      <c r="C2" s="317"/>
      <c r="D2" s="318"/>
      <c r="E2" s="113" t="s">
        <v>57</v>
      </c>
      <c r="F2" s="114" t="str">
        <f>DATA_DO_ORCAMENTO_ESTIMATIVO</f>
        <v>XX/XX/20XX</v>
      </c>
    </row>
    <row r="3" spans="2:6" s="98" customFormat="1" ht="24.6" x14ac:dyDescent="0.55000000000000004">
      <c r="B3" s="281" t="s">
        <v>54</v>
      </c>
      <c r="C3" s="281"/>
      <c r="D3" s="281"/>
      <c r="E3" s="281"/>
      <c r="F3" s="281"/>
    </row>
    <row r="4" spans="2:6" s="98" customFormat="1" ht="15.9" customHeight="1" x14ac:dyDescent="0.4">
      <c r="B4" s="282" t="s">
        <v>97</v>
      </c>
      <c r="C4" s="282"/>
      <c r="D4" s="282"/>
      <c r="E4" s="282"/>
      <c r="F4" s="282"/>
    </row>
    <row r="5" spans="2:6" s="98" customFormat="1" ht="15.9" customHeight="1" x14ac:dyDescent="0.4">
      <c r="B5" s="285" t="s">
        <v>223</v>
      </c>
      <c r="C5" s="285"/>
      <c r="D5" s="319" t="str">
        <f>NUMERO_PROCESSO</f>
        <v>1.23.000.000855/2020-32</v>
      </c>
      <c r="E5" s="319"/>
      <c r="F5" s="319"/>
    </row>
    <row r="6" spans="2:6" s="98" customFormat="1" ht="15.75" customHeight="1" x14ac:dyDescent="0.4">
      <c r="B6" s="289" t="s">
        <v>224</v>
      </c>
      <c r="C6" s="289"/>
      <c r="D6" s="320" t="str">
        <f>MODALIDADE_DE_LICITACAO</f>
        <v>Pregão nº</v>
      </c>
      <c r="E6" s="320"/>
      <c r="F6" s="118" t="str">
        <f>NUMERO_PREGAO</f>
        <v>XX/20XX</v>
      </c>
    </row>
    <row r="7" spans="2:6" s="99" customFormat="1" ht="15.75" customHeight="1" x14ac:dyDescent="0.45">
      <c r="B7" s="321" t="s">
        <v>58</v>
      </c>
      <c r="C7" s="321"/>
      <c r="D7" s="321"/>
      <c r="E7" s="321"/>
      <c r="F7" s="321"/>
    </row>
    <row r="8" spans="2:6" s="98" customFormat="1" ht="18" customHeight="1" x14ac:dyDescent="0.4">
      <c r="B8" s="25" t="s">
        <v>2</v>
      </c>
      <c r="C8" s="285" t="s">
        <v>63</v>
      </c>
      <c r="D8" s="285"/>
      <c r="E8" s="285"/>
      <c r="F8" s="119" t="str">
        <f>DATA_APRESENTACAO_PROPOSTA</f>
        <v>XX/XX/20XX</v>
      </c>
    </row>
    <row r="9" spans="2:6" s="98" customFormat="1" ht="15.9" customHeight="1" x14ac:dyDescent="0.25">
      <c r="B9" s="1" t="s">
        <v>3</v>
      </c>
      <c r="C9" s="67" t="s">
        <v>36</v>
      </c>
      <c r="D9" s="311" t="s">
        <v>270</v>
      </c>
      <c r="E9" s="311"/>
      <c r="F9" s="311"/>
    </row>
    <row r="10" spans="2:6" s="98" customFormat="1" ht="18.75" customHeight="1" x14ac:dyDescent="0.4">
      <c r="B10" s="25" t="s">
        <v>4</v>
      </c>
      <c r="C10" s="285" t="s">
        <v>37</v>
      </c>
      <c r="D10" s="285"/>
      <c r="E10" s="285"/>
      <c r="F10" s="120" t="str">
        <f>ACORDO_COLETIVO</f>
        <v>CCT 2020/2021</v>
      </c>
    </row>
    <row r="11" spans="2:6" s="98" customFormat="1" ht="15.9" customHeight="1" x14ac:dyDescent="0.4">
      <c r="B11" s="1" t="s">
        <v>5</v>
      </c>
      <c r="C11" s="311" t="s">
        <v>64</v>
      </c>
      <c r="D11" s="311"/>
      <c r="E11" s="311"/>
      <c r="F11" s="121">
        <f>NUMERO_MESES_EXEC_CONTRATUAL</f>
        <v>12</v>
      </c>
    </row>
    <row r="12" spans="2:6" s="98" customFormat="1" x14ac:dyDescent="0.4">
      <c r="B12" s="1" t="s">
        <v>6</v>
      </c>
      <c r="C12" s="312" t="s">
        <v>85</v>
      </c>
      <c r="D12" s="312"/>
      <c r="E12" s="312"/>
      <c r="F12" s="102">
        <v>2</v>
      </c>
    </row>
    <row r="13" spans="2:6" s="98" customFormat="1" ht="7.5" customHeight="1" x14ac:dyDescent="0.4">
      <c r="B13" s="122"/>
      <c r="C13" s="123"/>
      <c r="D13" s="123"/>
      <c r="E13" s="123"/>
      <c r="F13" s="104"/>
    </row>
    <row r="14" spans="2:6" s="98" customFormat="1" ht="21" customHeight="1" x14ac:dyDescent="0.55000000000000004">
      <c r="B14" s="106" t="s">
        <v>205</v>
      </c>
      <c r="C14" s="13"/>
      <c r="D14" s="13"/>
      <c r="E14" s="13"/>
      <c r="F14" s="13"/>
    </row>
    <row r="15" spans="2:6" s="98" customFormat="1" x14ac:dyDescent="0.4">
      <c r="B15" s="25">
        <v>1</v>
      </c>
      <c r="C15" s="243" t="s">
        <v>60</v>
      </c>
      <c r="D15" s="243"/>
      <c r="E15" s="247" t="str">
        <f>TIPO_DE_SERVICO</f>
        <v>Vigilância</v>
      </c>
      <c r="F15" s="247"/>
    </row>
    <row r="16" spans="2:6" s="99" customFormat="1" x14ac:dyDescent="0.4">
      <c r="B16" s="25">
        <v>2</v>
      </c>
      <c r="C16" s="27" t="s">
        <v>59</v>
      </c>
      <c r="D16" s="246" t="str">
        <f>CBO</f>
        <v>5173-30</v>
      </c>
      <c r="E16" s="246"/>
      <c r="F16" s="246"/>
    </row>
    <row r="17" spans="2:6" s="98" customFormat="1" ht="15" customHeight="1" x14ac:dyDescent="0.4">
      <c r="B17" s="25">
        <v>3</v>
      </c>
      <c r="C17" s="56" t="s">
        <v>61</v>
      </c>
      <c r="D17" s="247" t="str">
        <f>CATEGORIA_PROFISSIONAL</f>
        <v>Vigilante</v>
      </c>
      <c r="E17" s="247"/>
      <c r="F17" s="247"/>
    </row>
    <row r="18" spans="2:6" s="98" customFormat="1" ht="15" customHeight="1" x14ac:dyDescent="0.4">
      <c r="B18" s="25">
        <v>4</v>
      </c>
      <c r="C18" s="248" t="s">
        <v>62</v>
      </c>
      <c r="D18" s="248"/>
      <c r="E18" s="248"/>
      <c r="F18" s="135">
        <f>DATA_BASE_CATEGORIA</f>
        <v>43831</v>
      </c>
    </row>
    <row r="19" spans="2:6" s="98" customFormat="1" ht="15" customHeight="1" x14ac:dyDescent="0.4">
      <c r="B19" s="28"/>
      <c r="C19" s="29"/>
      <c r="D19" s="29"/>
      <c r="E19" s="29"/>
      <c r="F19" s="105"/>
    </row>
    <row r="20" spans="2:6" s="124" customFormat="1" ht="30" customHeight="1" x14ac:dyDescent="0.4">
      <c r="B20" s="322" t="s">
        <v>40</v>
      </c>
      <c r="C20" s="322"/>
      <c r="D20" s="322"/>
      <c r="E20" s="322"/>
      <c r="F20" s="322"/>
    </row>
    <row r="21" spans="2:6" x14ac:dyDescent="0.4">
      <c r="B21" s="260" t="s">
        <v>52</v>
      </c>
      <c r="C21" s="260"/>
      <c r="D21" s="260"/>
      <c r="E21" s="260"/>
      <c r="F21" s="117">
        <v>2</v>
      </c>
    </row>
    <row r="22" spans="2:6" x14ac:dyDescent="0.4">
      <c r="B22" s="51" t="s">
        <v>8</v>
      </c>
      <c r="E22" s="14"/>
      <c r="F22" s="14"/>
    </row>
    <row r="23" spans="2:6" x14ac:dyDescent="0.4">
      <c r="B23" s="1">
        <v>1</v>
      </c>
      <c r="C23" s="244" t="s">
        <v>9</v>
      </c>
      <c r="D23" s="323"/>
      <c r="E23" s="245"/>
      <c r="F23" s="4" t="s">
        <v>13</v>
      </c>
    </row>
    <row r="24" spans="2:6" x14ac:dyDescent="0.4">
      <c r="B24" s="1" t="s">
        <v>2</v>
      </c>
      <c r="C24" s="275" t="s">
        <v>92</v>
      </c>
      <c r="D24" s="276"/>
      <c r="E24" s="277"/>
      <c r="F24" s="57">
        <f>SALARIO_BASE</f>
        <v>1401.07</v>
      </c>
    </row>
    <row r="25" spans="2:6" x14ac:dyDescent="0.4">
      <c r="B25" s="1" t="s">
        <v>3</v>
      </c>
      <c r="C25" s="251" t="s">
        <v>94</v>
      </c>
      <c r="D25" s="252"/>
      <c r="E25" s="253"/>
      <c r="F25" s="10">
        <f>PERC_ADIC_PERIC%*SALARIO_BASE</f>
        <v>420.32</v>
      </c>
    </row>
    <row r="26" spans="2:6" x14ac:dyDescent="0.4">
      <c r="B26" s="1" t="s">
        <v>4</v>
      </c>
      <c r="C26" s="305" t="str">
        <f>OUTROS_REMUNERACAO_1_DESCRICAO</f>
        <v>DSR - Adicional noturno - 1/6</v>
      </c>
      <c r="D26" s="306"/>
      <c r="E26" s="307"/>
      <c r="F26" s="57">
        <v>0</v>
      </c>
    </row>
    <row r="27" spans="2:6" x14ac:dyDescent="0.4">
      <c r="B27" s="1" t="s">
        <v>5</v>
      </c>
      <c r="C27" s="305" t="str">
        <f>OUTROS_REMUNERACAO_2_DESCRICAO</f>
        <v>DSR - Hora noturna reduzida - 1/6</v>
      </c>
      <c r="D27" s="306"/>
      <c r="E27" s="307"/>
      <c r="F27" s="10">
        <f>OUTROS_REMUNERACAO_2</f>
        <v>0</v>
      </c>
    </row>
    <row r="28" spans="2:6" x14ac:dyDescent="0.4">
      <c r="B28" s="268" t="s">
        <v>46</v>
      </c>
      <c r="C28" s="269"/>
      <c r="D28" s="269"/>
      <c r="E28" s="270"/>
      <c r="F28" s="40">
        <f>SUM(F24:F27)</f>
        <v>1821.39</v>
      </c>
    </row>
    <row r="29" spans="2:6" x14ac:dyDescent="0.4">
      <c r="B29" s="51" t="s">
        <v>65</v>
      </c>
      <c r="E29" s="21"/>
      <c r="F29" s="21"/>
    </row>
    <row r="30" spans="2:6" x14ac:dyDescent="0.4">
      <c r="B30" s="51" t="s">
        <v>110</v>
      </c>
      <c r="C30" s="12"/>
      <c r="D30" s="22"/>
      <c r="E30" s="20"/>
      <c r="F30" s="20"/>
    </row>
    <row r="31" spans="2:6" x14ac:dyDescent="0.4">
      <c r="B31" s="1" t="s">
        <v>66</v>
      </c>
      <c r="C31" s="268" t="s">
        <v>93</v>
      </c>
      <c r="D31" s="270"/>
      <c r="E31" s="4" t="s">
        <v>1</v>
      </c>
      <c r="F31" s="4" t="s">
        <v>13</v>
      </c>
    </row>
    <row r="32" spans="2:6" x14ac:dyDescent="0.4">
      <c r="B32" s="1" t="s">
        <v>2</v>
      </c>
      <c r="C32" s="275" t="s">
        <v>47</v>
      </c>
      <c r="D32" s="276"/>
      <c r="E32" s="59">
        <f>PERC_DEC_TERC</f>
        <v>8.33</v>
      </c>
      <c r="F32" s="58">
        <f>PERC_DEC_TERC%*MOD_1_REMUNERACAO_12X36_DIU</f>
        <v>151.72</v>
      </c>
    </row>
    <row r="33" spans="2:8" s="17" customFormat="1" x14ac:dyDescent="0.4">
      <c r="B33" s="2" t="s">
        <v>3</v>
      </c>
      <c r="C33" s="251" t="s">
        <v>95</v>
      </c>
      <c r="D33" s="253"/>
      <c r="E33" s="38">
        <f>PERC_ADIC_FERIAS</f>
        <v>2.78</v>
      </c>
      <c r="F33" s="36">
        <f>PERC_ADIC_FERIAS%*MOD_1_REMUNERACAO_12X36_DIU</f>
        <v>50.63</v>
      </c>
    </row>
    <row r="34" spans="2:8" s="107" customFormat="1" x14ac:dyDescent="0.4">
      <c r="B34" s="268" t="s">
        <v>46</v>
      </c>
      <c r="C34" s="269"/>
      <c r="D34" s="269"/>
      <c r="E34" s="270"/>
      <c r="F34" s="41">
        <f>SUM(F32:F33)</f>
        <v>202.35</v>
      </c>
    </row>
    <row r="35" spans="2:8" s="107" customFormat="1" ht="31.5" customHeight="1" x14ac:dyDescent="0.4">
      <c r="B35" s="308" t="s">
        <v>68</v>
      </c>
      <c r="C35" s="308"/>
      <c r="D35" s="308"/>
      <c r="E35" s="308"/>
      <c r="F35" s="308"/>
    </row>
    <row r="36" spans="2:8" s="107" customFormat="1" ht="34.5" customHeight="1" x14ac:dyDescent="0.4">
      <c r="B36" s="1" t="s">
        <v>69</v>
      </c>
      <c r="C36" s="309" t="s">
        <v>96</v>
      </c>
      <c r="D36" s="310"/>
      <c r="E36" s="4" t="s">
        <v>1</v>
      </c>
      <c r="F36" s="4" t="s">
        <v>13</v>
      </c>
    </row>
    <row r="37" spans="2:8" x14ac:dyDescent="0.4">
      <c r="B37" s="1" t="s">
        <v>2</v>
      </c>
      <c r="C37" s="275" t="s">
        <v>41</v>
      </c>
      <c r="D37" s="276"/>
      <c r="E37" s="59">
        <f>PERC_INSS</f>
        <v>20</v>
      </c>
      <c r="F37" s="58">
        <f>PERC_INSS%*(MOD_1_REMUNERACAO_12X36_DIU+SUBMOD_2_1_DEC_TERC_ADIC_FERIAS_12X36_DIU)</f>
        <v>404.75</v>
      </c>
    </row>
    <row r="38" spans="2:8" s="98" customFormat="1" x14ac:dyDescent="0.4">
      <c r="B38" s="2" t="s">
        <v>3</v>
      </c>
      <c r="C38" s="251" t="s">
        <v>43</v>
      </c>
      <c r="D38" s="253"/>
      <c r="E38" s="46">
        <f>PERC_SAL_EDUCACAO</f>
        <v>2.5</v>
      </c>
      <c r="F38" s="36">
        <f>PERC_SAL_EDUCACAO%*(MOD_1_REMUNERACAO_12X36_DIU+SUBMOD_2_1_DEC_TERC_ADIC_FERIAS_12X36_DIU)</f>
        <v>50.59</v>
      </c>
      <c r="G38" s="13"/>
      <c r="H38" s="13"/>
    </row>
    <row r="39" spans="2:8" s="98" customFormat="1" x14ac:dyDescent="0.4">
      <c r="B39" s="2" t="s">
        <v>4</v>
      </c>
      <c r="C39" s="275" t="s">
        <v>236</v>
      </c>
      <c r="D39" s="276"/>
      <c r="E39" s="59">
        <f>PERC_RAT</f>
        <v>6</v>
      </c>
      <c r="F39" s="58">
        <f>PERC_RAT%*(MOD_1_REMUNERACAO_12X36_DIU+SUBMOD_2_1_DEC_TERC_ADIC_FERIAS_12X36_DIU)</f>
        <v>121.42</v>
      </c>
      <c r="G39" s="13"/>
      <c r="H39" s="13"/>
    </row>
    <row r="40" spans="2:8" s="98" customFormat="1" x14ac:dyDescent="0.4">
      <c r="B40" s="2" t="s">
        <v>5</v>
      </c>
      <c r="C40" s="251" t="s">
        <v>88</v>
      </c>
      <c r="D40" s="253"/>
      <c r="E40" s="38">
        <f>PERC_SESC</f>
        <v>1.5</v>
      </c>
      <c r="F40" s="36">
        <f>PERC_SESC%*(MOD_1_REMUNERACAO_12X36_DIU+SUBMOD_2_1_DEC_TERC_ADIC_FERIAS_12X36_DIU)</f>
        <v>30.36</v>
      </c>
      <c r="G40" s="13"/>
      <c r="H40" s="13"/>
    </row>
    <row r="41" spans="2:8" s="98" customFormat="1" x14ac:dyDescent="0.4">
      <c r="B41" s="2" t="s">
        <v>6</v>
      </c>
      <c r="C41" s="275" t="s">
        <v>89</v>
      </c>
      <c r="D41" s="276"/>
      <c r="E41" s="59">
        <f>PERC_SENAC</f>
        <v>1</v>
      </c>
      <c r="F41" s="58">
        <f>PERC_SENAC%*(MOD_1_REMUNERACAO_12X36_DIU+SUBMOD_2_1_DEC_TERC_ADIC_FERIAS_12X36_DIU)</f>
        <v>20.239999999999998</v>
      </c>
      <c r="G41" s="13"/>
      <c r="H41" s="13"/>
    </row>
    <row r="42" spans="2:8" s="99" customFormat="1" x14ac:dyDescent="0.4">
      <c r="B42" s="2" t="s">
        <v>7</v>
      </c>
      <c r="C42" s="251" t="s">
        <v>45</v>
      </c>
      <c r="D42" s="253"/>
      <c r="E42" s="46">
        <f>PERC_SEBRAE</f>
        <v>0.6</v>
      </c>
      <c r="F42" s="36">
        <f>PERC_SEBRAE%*(MOD_1_REMUNERACAO_12X36_DIU+SUBMOD_2_1_DEC_TERC_ADIC_FERIAS_12X36_DIU)</f>
        <v>12.14</v>
      </c>
      <c r="G42" s="13"/>
      <c r="H42" s="13"/>
    </row>
    <row r="43" spans="2:8" s="99" customFormat="1" x14ac:dyDescent="0.4">
      <c r="B43" s="2" t="s">
        <v>10</v>
      </c>
      <c r="C43" s="275" t="s">
        <v>42</v>
      </c>
      <c r="D43" s="276"/>
      <c r="E43" s="59">
        <f>PERC_INCRA</f>
        <v>0.2</v>
      </c>
      <c r="F43" s="58">
        <f>PERC_INCRA%*(MOD_1_REMUNERACAO_12X36_DIU+SUBMOD_2_1_DEC_TERC_ADIC_FERIAS_12X36_DIU)</f>
        <v>4.05</v>
      </c>
      <c r="G43" s="13"/>
      <c r="H43" s="13"/>
    </row>
    <row r="44" spans="2:8" x14ac:dyDescent="0.4">
      <c r="B44" s="2" t="s">
        <v>11</v>
      </c>
      <c r="C44" s="251" t="s">
        <v>44</v>
      </c>
      <c r="D44" s="253"/>
      <c r="E44" s="46">
        <f>PERC_FGTS</f>
        <v>8</v>
      </c>
      <c r="F44" s="36">
        <f>PERC_FGTS%*(MOD_1_REMUNERACAO_12X36_DIU+SUBMOD_2_1_DEC_TERC_ADIC_FERIAS_12X36_DIU)</f>
        <v>161.9</v>
      </c>
    </row>
    <row r="45" spans="2:8" x14ac:dyDescent="0.4">
      <c r="B45" s="268" t="s">
        <v>46</v>
      </c>
      <c r="C45" s="269"/>
      <c r="D45" s="269"/>
      <c r="E45" s="270"/>
      <c r="F45" s="42">
        <f>SUM(F37:F44)</f>
        <v>805.45</v>
      </c>
    </row>
    <row r="46" spans="2:8" ht="15.75" customHeight="1" x14ac:dyDescent="0.4">
      <c r="B46" s="51" t="s">
        <v>71</v>
      </c>
      <c r="C46" s="99"/>
      <c r="D46" s="99"/>
      <c r="E46" s="99"/>
      <c r="F46" s="99"/>
    </row>
    <row r="47" spans="2:8" ht="15.75" customHeight="1" x14ac:dyDescent="0.4">
      <c r="B47" s="1" t="s">
        <v>90</v>
      </c>
      <c r="C47" s="268" t="s">
        <v>14</v>
      </c>
      <c r="D47" s="269"/>
      <c r="E47" s="270"/>
      <c r="F47" s="4" t="s">
        <v>13</v>
      </c>
    </row>
    <row r="48" spans="2:8" x14ac:dyDescent="0.4">
      <c r="B48" s="25" t="s">
        <v>2</v>
      </c>
      <c r="C48" s="275" t="s">
        <v>15</v>
      </c>
      <c r="D48" s="276"/>
      <c r="E48" s="277"/>
      <c r="F48" s="58">
        <f>IF(((TRANSPORTE_POR_DIA*DIAS_TRABALHADOS_NO_MES_12X36)-(PERC_DESC_TRANSP_REMUNERACAO%*(AL_1_A_SAL_BASE_12X36_DIU/2)))&gt;0,((TRANSPORTE_POR_DIA*DIAS_TRABALHADOS_NO_MES_12X36)-(PERC_DESC_TRANSP_REMUNERACAO%*(AL_1_A_SAL_BASE_12X36_DIU/2))),0)</f>
        <v>65.97</v>
      </c>
      <c r="G48" s="145"/>
    </row>
    <row r="49" spans="2:7" s="107" customFormat="1" x14ac:dyDescent="0.4">
      <c r="B49" s="25" t="s">
        <v>3</v>
      </c>
      <c r="C49" s="251" t="s">
        <v>70</v>
      </c>
      <c r="D49" s="252"/>
      <c r="E49" s="253"/>
      <c r="F49" s="36">
        <f>ALIMENTACAO_POR_DIA*DIAS_TRABALHADOS_NO_MES_12X36*0.99</f>
        <v>386.1</v>
      </c>
      <c r="G49" s="13"/>
    </row>
    <row r="50" spans="2:7" s="107" customFormat="1" x14ac:dyDescent="0.4">
      <c r="B50" s="25" t="s">
        <v>4</v>
      </c>
      <c r="C50" s="275" t="str">
        <f>OUTROS_BENEFICIOS_1_DESCRICAO</f>
        <v>Auxílio saúde</v>
      </c>
      <c r="D50" s="276"/>
      <c r="E50" s="277"/>
      <c r="F50" s="58"/>
      <c r="G50" s="13"/>
    </row>
    <row r="51" spans="2:7" s="107" customFormat="1" x14ac:dyDescent="0.4">
      <c r="B51" s="25" t="s">
        <v>5</v>
      </c>
      <c r="C51" s="305" t="str">
        <f>OUTROS_BENEFICIOS_2_DESCRICAO</f>
        <v>Auxílio morte/funeral</v>
      </c>
      <c r="D51" s="306"/>
      <c r="E51" s="307"/>
      <c r="F51" s="36"/>
      <c r="G51" s="13"/>
    </row>
    <row r="52" spans="2:7" s="107" customFormat="1" x14ac:dyDescent="0.4">
      <c r="B52" s="25" t="s">
        <v>6</v>
      </c>
      <c r="C52" s="275" t="str">
        <f>OUTROS_BENEFICIOS_3_DESCRICAO</f>
        <v>Seguro de vida</v>
      </c>
      <c r="D52" s="276"/>
      <c r="E52" s="277"/>
      <c r="F52" s="58"/>
    </row>
    <row r="53" spans="2:7" s="107" customFormat="1" ht="15" customHeight="1" x14ac:dyDescent="0.4">
      <c r="B53" s="268" t="s">
        <v>46</v>
      </c>
      <c r="C53" s="269"/>
      <c r="D53" s="269"/>
      <c r="E53" s="270"/>
      <c r="F53" s="40">
        <f>SUM(F48:F52)</f>
        <v>452.07</v>
      </c>
    </row>
    <row r="54" spans="2:7" s="107" customFormat="1" x14ac:dyDescent="0.4">
      <c r="B54" s="51" t="s">
        <v>72</v>
      </c>
      <c r="C54" s="12"/>
      <c r="D54" s="22"/>
      <c r="E54" s="20"/>
      <c r="F54" s="20"/>
    </row>
    <row r="55" spans="2:7" s="107" customFormat="1" ht="15" customHeight="1" x14ac:dyDescent="0.4">
      <c r="B55" s="1">
        <v>3</v>
      </c>
      <c r="C55" s="260" t="s">
        <v>48</v>
      </c>
      <c r="D55" s="260"/>
      <c r="E55" s="4" t="s">
        <v>1</v>
      </c>
      <c r="F55" s="4" t="s">
        <v>13</v>
      </c>
    </row>
    <row r="56" spans="2:7" s="107" customFormat="1" x14ac:dyDescent="0.4">
      <c r="B56" s="1" t="s">
        <v>2</v>
      </c>
      <c r="C56" s="301" t="s">
        <v>49</v>
      </c>
      <c r="D56" s="301"/>
      <c r="E56" s="59">
        <f>PERC_AVISO_PREVIO_IND</f>
        <v>0.28999999999999998</v>
      </c>
      <c r="F56" s="58">
        <f>PERC_AVISO_PREVIO_IND%*(MOD_1_REMUNERACAO_12X36_DIU+SUBMOD_2_1_DEC_TERC_ADIC_FERIAS_12X36_DIU+AL_2_2_FGTS_12X36_DIU+SUBMOD_2_3_BENEFICIOS_12X36_DIU)</f>
        <v>7.65</v>
      </c>
    </row>
    <row r="57" spans="2:7" s="107" customFormat="1" x14ac:dyDescent="0.4">
      <c r="B57" s="2" t="s">
        <v>3</v>
      </c>
      <c r="C57" s="303" t="s">
        <v>50</v>
      </c>
      <c r="D57" s="303"/>
      <c r="E57" s="46">
        <f>PERC_AVISO_PREVIO_TRAB</f>
        <v>1.1599999999999999</v>
      </c>
      <c r="F57" s="36">
        <f>PERC_AVISO_PREVIO_TRAB%*(MOD_1_REMUNERACAO_12X36_DIU+SUBMOD_2_1_DEC_TERC_ADIC_FERIAS_12X36_DIU+SUBMOD_2_2_GPS_FGTS_12X36_DIU+SUBMOD_2_3_BENEFICIOS_12X36_DIU)</f>
        <v>38.06</v>
      </c>
    </row>
    <row r="58" spans="2:7" s="98" customFormat="1" x14ac:dyDescent="0.25">
      <c r="B58" s="2" t="s">
        <v>4</v>
      </c>
      <c r="C58" s="301" t="s">
        <v>232</v>
      </c>
      <c r="D58" s="301"/>
      <c r="E58" s="59">
        <f>PERC_MULTA_FGTS_AV_PREV_TRAB</f>
        <v>0.04</v>
      </c>
      <c r="F58" s="58">
        <f>PERC_MULTA_FGTS_AV_PREV_TRAB%*(MOD_1_REMUNERACAO_12X36_DIU+SUBMOD_2_1_DEC_TERC_ADIC_FERIAS_12X36_DIU)</f>
        <v>0.81</v>
      </c>
    </row>
    <row r="59" spans="2:7" s="98" customFormat="1" x14ac:dyDescent="0.4">
      <c r="B59" s="268" t="s">
        <v>46</v>
      </c>
      <c r="C59" s="269"/>
      <c r="D59" s="269"/>
      <c r="E59" s="270"/>
      <c r="F59" s="41">
        <f>SUM(F56:F58)</f>
        <v>46.52</v>
      </c>
    </row>
    <row r="60" spans="2:7" ht="7.5" customHeight="1" x14ac:dyDescent="0.4">
      <c r="B60" s="16"/>
      <c r="C60" s="17"/>
      <c r="D60" s="18"/>
      <c r="E60" s="14"/>
      <c r="F60" s="14"/>
    </row>
    <row r="61" spans="2:7" s="98" customFormat="1" ht="15.9" customHeight="1" x14ac:dyDescent="0.4">
      <c r="B61" s="51" t="s">
        <v>73</v>
      </c>
      <c r="C61" s="12"/>
      <c r="D61" s="22"/>
      <c r="E61" s="13"/>
      <c r="F61" s="13"/>
    </row>
    <row r="62" spans="2:7" s="98" customFormat="1" ht="15.9" customHeight="1" x14ac:dyDescent="0.4">
      <c r="B62" s="51" t="s">
        <v>102</v>
      </c>
      <c r="C62" s="12"/>
      <c r="D62" s="22"/>
      <c r="E62" s="20"/>
      <c r="F62" s="20"/>
    </row>
    <row r="63" spans="2:7" s="98" customFormat="1" x14ac:dyDescent="0.25">
      <c r="B63" s="1" t="s">
        <v>18</v>
      </c>
      <c r="C63" s="302" t="s">
        <v>103</v>
      </c>
      <c r="D63" s="302"/>
      <c r="E63" s="4" t="s">
        <v>1</v>
      </c>
      <c r="F63" s="4" t="s">
        <v>13</v>
      </c>
    </row>
    <row r="64" spans="2:7" s="98" customFormat="1" ht="15.9" customHeight="1" x14ac:dyDescent="0.25">
      <c r="B64" s="2" t="s">
        <v>2</v>
      </c>
      <c r="C64" s="298" t="s">
        <v>104</v>
      </c>
      <c r="D64" s="298"/>
      <c r="E64" s="59">
        <f>PERC_SUBSTITUTO_FERIAS</f>
        <v>8.33</v>
      </c>
      <c r="F64" s="58">
        <f>PERC_SUBSTITUTO_FERIAS%*(MOD_1_REMUNERACAO_12X36_DIU+MOD_2_ENCARGOS_BENEFICIOS_12X36_DIU+MOD_3_PROVISAO_RESCISAO_12X36_DIU)</f>
        <v>277.2</v>
      </c>
    </row>
    <row r="65" spans="2:7" s="98" customFormat="1" ht="15.9" customHeight="1" x14ac:dyDescent="0.25">
      <c r="B65" s="2" t="s">
        <v>3</v>
      </c>
      <c r="C65" s="300" t="s">
        <v>105</v>
      </c>
      <c r="D65" s="300"/>
      <c r="E65" s="46">
        <f>PERC_SUBSTITUTO_AUSENCIAS_LEGAIS</f>
        <v>2.2200000000000002</v>
      </c>
      <c r="F65" s="36">
        <f>PERC_SUBSTITUTO_AUSENCIAS_LEGAIS%*(MOD_1_REMUNERACAO_12X36_DIU+MOD_2_ENCARGOS_BENEFICIOS_12X36_DIU+MOD_3_PROVISAO_RESCISAO_12X36_DIU)</f>
        <v>73.88</v>
      </c>
    </row>
    <row r="66" spans="2:7" s="98" customFormat="1" ht="15.9" customHeight="1" x14ac:dyDescent="0.25">
      <c r="B66" s="2" t="s">
        <v>4</v>
      </c>
      <c r="C66" s="298" t="s">
        <v>106</v>
      </c>
      <c r="D66" s="298"/>
      <c r="E66" s="59">
        <f>PERC_SUBSTITUTO_LICENCA_PATERNIDADE</f>
        <v>7.0000000000000007E-2</v>
      </c>
      <c r="F66" s="58">
        <f>PERC_SUBSTITUTO_LICENCA_PATERNIDADE%*(MOD_1_REMUNERACAO_12X36_DIU+MOD_2_ENCARGOS_BENEFICIOS_12X36_DIU+MOD_3_PROVISAO_RESCISAO_12X36_DIU)</f>
        <v>2.33</v>
      </c>
    </row>
    <row r="67" spans="2:7" s="98" customFormat="1" x14ac:dyDescent="0.25">
      <c r="B67" s="2" t="s">
        <v>5</v>
      </c>
      <c r="C67" s="300" t="s">
        <v>107</v>
      </c>
      <c r="D67" s="300"/>
      <c r="E67" s="46">
        <f>PERC_SUBSTITUTO_ACID_TRAB</f>
        <v>0.02</v>
      </c>
      <c r="F67" s="36">
        <f>PERC_SUBSTITUTO_ACID_TRAB%*(MOD_1_REMUNERACAO_12X36_DIU+MOD_2_ENCARGOS_BENEFICIOS_12X36_DIU+MOD_3_PROVISAO_RESCISAO_12X36_DIU)</f>
        <v>0.67</v>
      </c>
    </row>
    <row r="68" spans="2:7" s="98" customFormat="1" x14ac:dyDescent="0.25">
      <c r="B68" s="2" t="s">
        <v>6</v>
      </c>
      <c r="C68" s="298" t="s">
        <v>108</v>
      </c>
      <c r="D68" s="298"/>
      <c r="E68" s="59">
        <f>PERC_SUBSTITUTO_AFAST_MATERN</f>
        <v>0.04</v>
      </c>
      <c r="F68" s="58">
        <f>PERC_SUBSTITUTO_AFAST_MATERN%*(MOD_1_REMUNERACAO_12X36_DIU+MOD_2_ENCARGOS_BENEFICIOS_12X36_DIU+MOD_3_PROVISAO_RESCISAO_12X36_DIU)</f>
        <v>1.33</v>
      </c>
    </row>
    <row r="69" spans="2:7" s="98" customFormat="1" x14ac:dyDescent="0.25">
      <c r="B69" s="2" t="s">
        <v>7</v>
      </c>
      <c r="C69" s="325" t="str">
        <f>OUTRAS_AUSENCIAS_DESCRICAO</f>
        <v>Outras Ausências (Especificar - em %)</v>
      </c>
      <c r="D69" s="300"/>
      <c r="E69" s="53">
        <f>PERC_SUBSTITUTO_OUTRAS_AUSENCIAS</f>
        <v>0</v>
      </c>
      <c r="F69" s="36">
        <f>PERC_SUBSTITUTO_OUTRAS_AUSENCIAS%*(MOD_1_REMUNERACAO_12X36_DIU+MOD_2_ENCARGOS_BENEFICIOS_12X36_DIU+MOD_3_PROVISAO_RESCISAO_12X36_DIU)</f>
        <v>0</v>
      </c>
    </row>
    <row r="70" spans="2:7" s="98" customFormat="1" x14ac:dyDescent="0.4">
      <c r="B70" s="268" t="s">
        <v>46</v>
      </c>
      <c r="C70" s="269"/>
      <c r="D70" s="269"/>
      <c r="E70" s="270"/>
      <c r="F70" s="41">
        <f>SUM(F64:F69)</f>
        <v>355.41</v>
      </c>
    </row>
    <row r="71" spans="2:7" s="98" customFormat="1" ht="15" customHeight="1" x14ac:dyDescent="0.4">
      <c r="B71" s="51" t="s">
        <v>226</v>
      </c>
      <c r="C71" s="12"/>
      <c r="D71" s="22"/>
      <c r="E71" s="20"/>
      <c r="F71" s="20"/>
    </row>
    <row r="72" spans="2:7" s="98" customFormat="1" x14ac:dyDescent="0.25">
      <c r="B72" s="1" t="s">
        <v>19</v>
      </c>
      <c r="C72" s="260" t="s">
        <v>225</v>
      </c>
      <c r="D72" s="260"/>
      <c r="E72" s="260"/>
      <c r="F72" s="4" t="s">
        <v>13</v>
      </c>
    </row>
    <row r="73" spans="2:7" s="98" customFormat="1" x14ac:dyDescent="0.25">
      <c r="B73" s="1" t="s">
        <v>2</v>
      </c>
      <c r="C73" s="298" t="s">
        <v>109</v>
      </c>
      <c r="D73" s="298"/>
      <c r="E73" s="298"/>
      <c r="F73" s="57">
        <f>((MOD_1_REMUNERACAO_12X36_DIU+MOD_2_ENCARGOS_BENEFICIOS_12X36_DIU+MOD_3_PROVISAO_RESCISAO_12X36_DIU)/DIVISOR_DE_HORAS)*((TEMPO_INTERVALO_REFEICAO/HORA_NORMAL))*DIAS_TRABALHADOS_NO_MES_12X36</f>
        <v>226.89</v>
      </c>
      <c r="G73" s="140"/>
    </row>
    <row r="74" spans="2:7" s="98" customFormat="1" x14ac:dyDescent="0.4">
      <c r="B74" s="260" t="s">
        <v>46</v>
      </c>
      <c r="C74" s="260"/>
      <c r="D74" s="260"/>
      <c r="E74" s="260"/>
      <c r="F74" s="41">
        <f>SUM(F73)</f>
        <v>226.89</v>
      </c>
    </row>
    <row r="75" spans="2:7" ht="7.5" customHeight="1" x14ac:dyDescent="0.4">
      <c r="B75" s="16"/>
      <c r="C75" s="17"/>
      <c r="D75" s="18"/>
      <c r="E75" s="14"/>
      <c r="F75" s="14"/>
    </row>
    <row r="76" spans="2:7" x14ac:dyDescent="0.4">
      <c r="B76" s="51" t="s">
        <v>77</v>
      </c>
      <c r="C76" s="12"/>
      <c r="D76" s="12"/>
      <c r="E76" s="20"/>
      <c r="F76" s="20"/>
    </row>
    <row r="77" spans="2:7" ht="15.75" customHeight="1" x14ac:dyDescent="0.4">
      <c r="B77" s="49">
        <v>5</v>
      </c>
      <c r="C77" s="271" t="s">
        <v>0</v>
      </c>
      <c r="D77" s="271"/>
      <c r="E77" s="271"/>
      <c r="F77" s="50" t="s">
        <v>13</v>
      </c>
    </row>
    <row r="78" spans="2:7" x14ac:dyDescent="0.4">
      <c r="B78" s="44" t="s">
        <v>2</v>
      </c>
      <c r="C78" s="272" t="s">
        <v>16</v>
      </c>
      <c r="D78" s="272"/>
      <c r="E78" s="272"/>
      <c r="F78" s="60">
        <f>UNIFORMES</f>
        <v>244.71</v>
      </c>
    </row>
    <row r="79" spans="2:7" x14ac:dyDescent="0.4">
      <c r="B79" s="44" t="s">
        <v>3</v>
      </c>
      <c r="C79" s="273" t="s">
        <v>285</v>
      </c>
      <c r="D79" s="273"/>
      <c r="E79" s="273"/>
      <c r="F79" s="47">
        <f>MATERIAIS</f>
        <v>77.400000000000006</v>
      </c>
    </row>
    <row r="80" spans="2:7" x14ac:dyDescent="0.4">
      <c r="B80" s="44" t="s">
        <v>4</v>
      </c>
      <c r="C80" s="272" t="s">
        <v>286</v>
      </c>
      <c r="D80" s="272"/>
      <c r="E80" s="272"/>
      <c r="F80" s="60">
        <f>EQUIPAMENTOS</f>
        <v>8.09</v>
      </c>
    </row>
    <row r="81" spans="2:8" x14ac:dyDescent="0.4">
      <c r="B81" s="44" t="s">
        <v>5</v>
      </c>
      <c r="C81" s="324" t="str">
        <f>OUTROS_INSUMOS_DESCRICAO</f>
        <v>Outros (Especificar)</v>
      </c>
      <c r="D81" s="273"/>
      <c r="E81" s="273"/>
      <c r="F81" s="47">
        <f>OUTROS_INSUMOS</f>
        <v>0</v>
      </c>
    </row>
    <row r="82" spans="2:8" x14ac:dyDescent="0.4">
      <c r="B82" s="328" t="s">
        <v>46</v>
      </c>
      <c r="C82" s="328"/>
      <c r="D82" s="328"/>
      <c r="E82" s="328"/>
      <c r="F82" s="43">
        <f>SUM(F78:F81)</f>
        <v>330.2</v>
      </c>
    </row>
    <row r="83" spans="2:8" ht="7.5" customHeight="1" x14ac:dyDescent="0.4">
      <c r="B83" s="16"/>
      <c r="C83" s="17"/>
      <c r="D83" s="18"/>
      <c r="E83" s="14"/>
      <c r="F83" s="14"/>
    </row>
    <row r="84" spans="2:8" ht="15" customHeight="1" x14ac:dyDescent="0.4">
      <c r="B84" s="264" t="s">
        <v>76</v>
      </c>
      <c r="C84" s="264"/>
      <c r="D84" s="264"/>
      <c r="E84" s="264"/>
      <c r="F84" s="264"/>
    </row>
    <row r="85" spans="2:8" x14ac:dyDescent="0.4">
      <c r="B85" s="1">
        <v>6</v>
      </c>
      <c r="C85" s="260" t="s">
        <v>20</v>
      </c>
      <c r="D85" s="260"/>
      <c r="E85" s="4" t="s">
        <v>1</v>
      </c>
      <c r="F85" s="4" t="s">
        <v>13</v>
      </c>
    </row>
    <row r="86" spans="2:8" x14ac:dyDescent="0.4">
      <c r="B86" s="1" t="s">
        <v>2</v>
      </c>
      <c r="C86" s="298" t="s">
        <v>78</v>
      </c>
      <c r="D86" s="298"/>
      <c r="E86" s="61">
        <f>PERC_CUSTOS_INDIRETOS</f>
        <v>4.8499999999999996</v>
      </c>
      <c r="F86" s="58">
        <f>PERC_CUSTOS_INDIRETOS%*(MOD_1_REMUNERACAO_12X36_DIU+MOD_2_ENCARGOS_BENEFICIOS_12X36_DIU+MOD_3_PROVISAO_RESCISAO_12X36_DIU+MOD_4_CUSTO_REPOSICAO_12X36_DIU+MOD_5_INSUMOS_12X36_DIU)</f>
        <v>205.65</v>
      </c>
    </row>
    <row r="87" spans="2:8" ht="15.75" customHeight="1" x14ac:dyDescent="0.4">
      <c r="B87" s="2" t="s">
        <v>3</v>
      </c>
      <c r="C87" s="300" t="s">
        <v>32</v>
      </c>
      <c r="D87" s="300"/>
      <c r="E87" s="48">
        <f>PERC_LUCRO</f>
        <v>5.45</v>
      </c>
      <c r="F87" s="36">
        <f>PERC_LUCRO%*(MOD_1_REMUNERACAO_12X36_DIU+MOD_2_ENCARGOS_BENEFICIOS_12X36_DIU+MOD_3_PROVISAO_RESCISAO_12X36_DIU+MOD_4_CUSTO_REPOSICAO_12X36_DIU+MOD_5_INSUMOS_12X36_DIU+AL_6_A_CUSTOS_INDIRETOS_12X36_DIU)</f>
        <v>242.3</v>
      </c>
    </row>
    <row r="88" spans="2:8" x14ac:dyDescent="0.4">
      <c r="B88" s="2" t="s">
        <v>4</v>
      </c>
      <c r="C88" s="298" t="s">
        <v>21</v>
      </c>
      <c r="D88" s="298"/>
      <c r="E88" s="61">
        <f>SUM(E89:E91)</f>
        <v>8.65</v>
      </c>
      <c r="F88" s="58">
        <f>SUM(F89:F91)</f>
        <v>443.93</v>
      </c>
    </row>
    <row r="89" spans="2:8" ht="15.75" customHeight="1" x14ac:dyDescent="0.4">
      <c r="B89" s="30" t="s">
        <v>79</v>
      </c>
      <c r="C89" s="326" t="s">
        <v>23</v>
      </c>
      <c r="D89" s="326"/>
      <c r="E89" s="31">
        <f>PERC_PIS</f>
        <v>0.65</v>
      </c>
      <c r="F89" s="63">
        <f>((MOD_1_REMUNERACAO_12X36_DIU+MOD_2_ENCARGOS_BENEFICIOS_12X36_DIU+MOD_3_PROVISAO_RESCISAO_12X36_DIU+MOD_4_CUSTO_REPOSICAO_12X36_DIU+MOD_5_INSUMOS_12X36_DIU+AL_6_A_CUSTOS_INDIRETOS_12X36_DIU+AL_6_B_LUCRO_12X36_DIU)*PERC_PIS%)/(1-PERC_TRIBUTOS%)</f>
        <v>33.36</v>
      </c>
    </row>
    <row r="90" spans="2:8" x14ac:dyDescent="0.4">
      <c r="B90" s="30" t="s">
        <v>80</v>
      </c>
      <c r="C90" s="327" t="s">
        <v>24</v>
      </c>
      <c r="D90" s="327"/>
      <c r="E90" s="62">
        <f>PERC_COFINS</f>
        <v>3</v>
      </c>
      <c r="F90" s="64">
        <f>((MOD_1_REMUNERACAO_12X36_DIU+MOD_2_ENCARGOS_BENEFICIOS_12X36_DIU+MOD_3_PROVISAO_RESCISAO_12X36_DIU+MOD_4_CUSTO_REPOSICAO_12X36_DIU+MOD_5_INSUMOS_12X36_DIU+AL_6_A_CUSTOS_INDIRETOS_12X36_DIU+AL_6_B_LUCRO_12X36_DIU)*PERC_COFINS%)/(1-PERC_TRIBUTOS%)</f>
        <v>153.96</v>
      </c>
    </row>
    <row r="91" spans="2:8" s="108" customFormat="1" x14ac:dyDescent="0.4">
      <c r="B91" s="30" t="s">
        <v>81</v>
      </c>
      <c r="C91" s="326" t="s">
        <v>25</v>
      </c>
      <c r="D91" s="326"/>
      <c r="E91" s="31">
        <f>PERC_ISS</f>
        <v>5</v>
      </c>
      <c r="F91" s="63">
        <f>((MOD_1_REMUNERACAO_12X36_DIU+MOD_2_ENCARGOS_BENEFICIOS_12X36_DIU+MOD_3_PROVISAO_RESCISAO_12X36_DIU+MOD_4_CUSTO_REPOSICAO_12X36_DIU+MOD_5_INSUMOS_12X36_DIU+AL_6_A_CUSTOS_INDIRETOS_12X36_DIU+AL_6_B_LUCRO_12X36_DIU)*PERC_ISS%)/(1-PERC_TRIBUTOS%)</f>
        <v>256.61</v>
      </c>
      <c r="H91" s="13"/>
    </row>
    <row r="92" spans="2:8" s="108" customFormat="1" x14ac:dyDescent="0.4">
      <c r="B92" s="268" t="s">
        <v>46</v>
      </c>
      <c r="C92" s="269"/>
      <c r="D92" s="269"/>
      <c r="E92" s="270"/>
      <c r="F92" s="37">
        <f>AL_6_A_CUSTOS_INDIRETOS_12X36_DIU+AL_6_B_LUCRO_12X36_DIU+AL_6_C_TRIBUTOS_12X36_DIU</f>
        <v>891.88</v>
      </c>
    </row>
    <row r="93" spans="2:8" s="108" customFormat="1" x14ac:dyDescent="0.4">
      <c r="B93" s="264" t="s">
        <v>261</v>
      </c>
      <c r="C93" s="264"/>
      <c r="D93" s="264"/>
      <c r="E93" s="264"/>
      <c r="F93" s="264"/>
    </row>
    <row r="94" spans="2:8" s="108" customFormat="1" x14ac:dyDescent="0.4">
      <c r="B94" s="147" t="s">
        <v>2</v>
      </c>
      <c r="C94" s="275" t="str">
        <f>'INSERÇÃO-DE-DADOS'!C85:E85</f>
        <v>Dia do Vigilante - Clausula 82ª CCT - Jornada 12x36 diurno</v>
      </c>
      <c r="D94" s="276"/>
      <c r="E94" s="277"/>
      <c r="F94" s="57">
        <f>'INSERÇÃO-DE-DADOS'!F85</f>
        <v>8.2799999999999994</v>
      </c>
    </row>
    <row r="95" spans="2:8" s="108" customFormat="1" ht="20.399999999999999" x14ac:dyDescent="0.4">
      <c r="B95" s="52" t="s">
        <v>53</v>
      </c>
      <c r="C95" s="15"/>
      <c r="D95" s="15"/>
      <c r="E95" s="15"/>
      <c r="F95" s="23"/>
    </row>
    <row r="96" spans="2:8" s="109" customFormat="1" ht="16.5" customHeight="1" x14ac:dyDescent="0.4">
      <c r="B96" s="2" t="s">
        <v>98</v>
      </c>
      <c r="C96" s="257" t="s">
        <v>99</v>
      </c>
      <c r="D96" s="258"/>
      <c r="E96" s="259"/>
      <c r="F96" s="4" t="s">
        <v>17</v>
      </c>
      <c r="H96" s="128"/>
    </row>
    <row r="97" spans="2:8" s="108" customFormat="1" x14ac:dyDescent="0.4">
      <c r="B97" s="1">
        <v>1</v>
      </c>
      <c r="C97" s="298" t="s">
        <v>9</v>
      </c>
      <c r="D97" s="298"/>
      <c r="E97" s="298"/>
      <c r="F97" s="58">
        <f>MOD_1_REMUNERACAO_12X36_DIU</f>
        <v>1821.39</v>
      </c>
    </row>
    <row r="98" spans="2:8" s="110" customFormat="1" ht="16.5" customHeight="1" x14ac:dyDescent="0.4">
      <c r="B98" s="2">
        <v>2</v>
      </c>
      <c r="C98" s="300" t="s">
        <v>100</v>
      </c>
      <c r="D98" s="300"/>
      <c r="E98" s="300"/>
      <c r="F98" s="36">
        <f>MOD_2_ENCARGOS_BENEFICIOS_12X36_DIU</f>
        <v>1459.87</v>
      </c>
    </row>
    <row r="99" spans="2:8" s="110" customFormat="1" x14ac:dyDescent="0.4">
      <c r="B99" s="2">
        <v>3</v>
      </c>
      <c r="C99" s="298" t="s">
        <v>48</v>
      </c>
      <c r="D99" s="298"/>
      <c r="E99" s="298"/>
      <c r="F99" s="58">
        <f>MOD_3_PROVISAO_RESCISAO_12X36_DIU</f>
        <v>46.52</v>
      </c>
    </row>
    <row r="100" spans="2:8" s="110" customFormat="1" x14ac:dyDescent="0.4">
      <c r="B100" s="2">
        <v>4</v>
      </c>
      <c r="C100" s="300" t="s">
        <v>51</v>
      </c>
      <c r="D100" s="300"/>
      <c r="E100" s="300"/>
      <c r="F100" s="36">
        <f>MOD_4_CUSTO_REPOSICAO_12X36_DIU</f>
        <v>582.29999999999995</v>
      </c>
    </row>
    <row r="101" spans="2:8" s="110" customFormat="1" x14ac:dyDescent="0.4">
      <c r="B101" s="2">
        <v>5</v>
      </c>
      <c r="C101" s="298" t="s">
        <v>0</v>
      </c>
      <c r="D101" s="298"/>
      <c r="E101" s="298"/>
      <c r="F101" s="58">
        <f>MOD_5_INSUMOS_12X36_DIU</f>
        <v>330.2</v>
      </c>
    </row>
    <row r="102" spans="2:8" s="110" customFormat="1" x14ac:dyDescent="0.4">
      <c r="B102" s="2">
        <v>6</v>
      </c>
      <c r="C102" s="300" t="s">
        <v>20</v>
      </c>
      <c r="D102" s="300"/>
      <c r="E102" s="300"/>
      <c r="F102" s="36">
        <f>MOD_6_CUSTOS_IND_LUCRO_TRIB_12X36_DIU</f>
        <v>891.88</v>
      </c>
    </row>
    <row r="103" spans="2:8" s="110" customFormat="1" x14ac:dyDescent="0.4">
      <c r="B103" s="2">
        <v>7</v>
      </c>
      <c r="C103" s="149" t="str">
        <f>C94</f>
        <v>Dia do Vigilante - Clausula 82ª CCT - Jornada 12x36 diurno</v>
      </c>
      <c r="D103" s="146"/>
      <c r="E103" s="146"/>
      <c r="F103" s="36">
        <f>F94</f>
        <v>8.2799999999999994</v>
      </c>
    </row>
    <row r="104" spans="2:8" ht="16.5" customHeight="1" x14ac:dyDescent="0.4">
      <c r="B104" s="302" t="s">
        <v>101</v>
      </c>
      <c r="C104" s="302"/>
      <c r="D104" s="302"/>
      <c r="E104" s="302"/>
      <c r="F104" s="37">
        <f>SUM(F97:F103)</f>
        <v>5140.4399999999996</v>
      </c>
      <c r="H104" s="129"/>
    </row>
    <row r="105" spans="2:8" ht="16.5" customHeight="1" x14ac:dyDescent="0.4">
      <c r="B105" s="302" t="s">
        <v>30</v>
      </c>
      <c r="C105" s="302"/>
      <c r="D105" s="302"/>
      <c r="E105" s="302"/>
      <c r="F105" s="37">
        <f>VALOR_TOTAL_EMPREGADO_12x36_DIU*EMPREG_POR_POSTO_12X36_DIU</f>
        <v>10280.879999999999</v>
      </c>
    </row>
  </sheetData>
  <mergeCells count="91">
    <mergeCell ref="B105:E105"/>
    <mergeCell ref="C90:D90"/>
    <mergeCell ref="C91:D91"/>
    <mergeCell ref="B92:E92"/>
    <mergeCell ref="C96:E96"/>
    <mergeCell ref="C97:E97"/>
    <mergeCell ref="C98:E98"/>
    <mergeCell ref="C99:E99"/>
    <mergeCell ref="C100:E100"/>
    <mergeCell ref="C101:E101"/>
    <mergeCell ref="C102:E102"/>
    <mergeCell ref="B104:E104"/>
    <mergeCell ref="B93:F93"/>
    <mergeCell ref="C94:E94"/>
    <mergeCell ref="C89:D89"/>
    <mergeCell ref="C77:E77"/>
    <mergeCell ref="C78:E78"/>
    <mergeCell ref="C79:E79"/>
    <mergeCell ref="C80:E80"/>
    <mergeCell ref="C81:E81"/>
    <mergeCell ref="B82:E82"/>
    <mergeCell ref="B84:F84"/>
    <mergeCell ref="C85:D85"/>
    <mergeCell ref="C86:D86"/>
    <mergeCell ref="C87:D87"/>
    <mergeCell ref="C88:D88"/>
    <mergeCell ref="B74:E74"/>
    <mergeCell ref="B59:E59"/>
    <mergeCell ref="C63:D63"/>
    <mergeCell ref="C64:D64"/>
    <mergeCell ref="C65:D65"/>
    <mergeCell ref="C66:D66"/>
    <mergeCell ref="C67:D67"/>
    <mergeCell ref="C68:D68"/>
    <mergeCell ref="C69:D69"/>
    <mergeCell ref="B70:E70"/>
    <mergeCell ref="C72:E72"/>
    <mergeCell ref="C73:E73"/>
    <mergeCell ref="C58:D58"/>
    <mergeCell ref="B45:E45"/>
    <mergeCell ref="C47:E47"/>
    <mergeCell ref="C48:E48"/>
    <mergeCell ref="C49:E49"/>
    <mergeCell ref="C50:E50"/>
    <mergeCell ref="C51:E51"/>
    <mergeCell ref="C52:E52"/>
    <mergeCell ref="B53:E53"/>
    <mergeCell ref="C55:D55"/>
    <mergeCell ref="C56:D56"/>
    <mergeCell ref="C57:D57"/>
    <mergeCell ref="C44:D44"/>
    <mergeCell ref="C33:D33"/>
    <mergeCell ref="B34:E34"/>
    <mergeCell ref="B35:F35"/>
    <mergeCell ref="C36:D36"/>
    <mergeCell ref="C37:D37"/>
    <mergeCell ref="C38:D38"/>
    <mergeCell ref="C39:D39"/>
    <mergeCell ref="C40:D40"/>
    <mergeCell ref="C41:D41"/>
    <mergeCell ref="C42:D42"/>
    <mergeCell ref="C43:D43"/>
    <mergeCell ref="C32:D32"/>
    <mergeCell ref="C18:E18"/>
    <mergeCell ref="B20:F20"/>
    <mergeCell ref="B21:E21"/>
    <mergeCell ref="C23:E23"/>
    <mergeCell ref="C24:E24"/>
    <mergeCell ref="C25:E25"/>
    <mergeCell ref="C26:E26"/>
    <mergeCell ref="C27:E27"/>
    <mergeCell ref="B28:E28"/>
    <mergeCell ref="C31:D31"/>
    <mergeCell ref="D17:F17"/>
    <mergeCell ref="B6:C6"/>
    <mergeCell ref="D6:E6"/>
    <mergeCell ref="B7:F7"/>
    <mergeCell ref="C8:E8"/>
    <mergeCell ref="D9:F9"/>
    <mergeCell ref="C10:E10"/>
    <mergeCell ref="C11:E11"/>
    <mergeCell ref="C12:E12"/>
    <mergeCell ref="C15:D15"/>
    <mergeCell ref="E15:F15"/>
    <mergeCell ref="D16:F16"/>
    <mergeCell ref="B1:F1"/>
    <mergeCell ref="B2:D2"/>
    <mergeCell ref="B3:F3"/>
    <mergeCell ref="B4:F4"/>
    <mergeCell ref="B5:C5"/>
    <mergeCell ref="D5:F5"/>
  </mergeCells>
  <printOptions horizontalCentered="1"/>
  <pageMargins left="0.15748031496062992" right="0.23622047244094491" top="0.24" bottom="0.15748031496062992" header="0.23622047244094491" footer="0.15748031496062992"/>
  <pageSetup paperSize="9" firstPageNumber="0" orientation="portrait" verticalDpi="300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5"/>
  <sheetViews>
    <sheetView topLeftCell="A23" zoomScaleNormal="100" zoomScaleSheetLayoutView="100" workbookViewId="0">
      <selection activeCell="F24" sqref="F24"/>
    </sheetView>
  </sheetViews>
  <sheetFormatPr defaultColWidth="9.109375" defaultRowHeight="16.8" x14ac:dyDescent="0.4"/>
  <cols>
    <col min="1" max="1" width="2.6640625" style="13" customWidth="1"/>
    <col min="2" max="2" width="8.88671875" style="13" customWidth="1"/>
    <col min="3" max="3" width="52.5546875" style="19" customWidth="1"/>
    <col min="4" max="4" width="7.88671875" style="19" customWidth="1"/>
    <col min="5" max="5" width="13.5546875" style="19" customWidth="1"/>
    <col min="6" max="6" width="15.44140625" style="19" bestFit="1" customWidth="1"/>
    <col min="7" max="7" width="9.6640625" style="13" bestFit="1" customWidth="1"/>
    <col min="8" max="16384" width="9.109375" style="13"/>
  </cols>
  <sheetData>
    <row r="1" spans="2:6" ht="20.399999999999999" x14ac:dyDescent="0.45">
      <c r="B1" s="313" t="str">
        <f>RAMO</f>
        <v>RAMO: MINISTÉRIO PÚBLIC FEDERAL</v>
      </c>
      <c r="C1" s="314"/>
      <c r="D1" s="314"/>
      <c r="E1" s="314"/>
      <c r="F1" s="315"/>
    </row>
    <row r="2" spans="2:6" ht="20.399999999999999" x14ac:dyDescent="0.45">
      <c r="B2" s="316" t="str">
        <f>UG</f>
        <v>UNIDADE GESTORA (SIGLA): PR-PA</v>
      </c>
      <c r="C2" s="317"/>
      <c r="D2" s="318"/>
      <c r="E2" s="113" t="s">
        <v>57</v>
      </c>
      <c r="F2" s="114" t="str">
        <f>DATA_DO_ORCAMENTO_ESTIMATIVO</f>
        <v>XX/XX/20XX</v>
      </c>
    </row>
    <row r="3" spans="2:6" s="98" customFormat="1" ht="24.6" x14ac:dyDescent="0.55000000000000004">
      <c r="B3" s="281" t="s">
        <v>55</v>
      </c>
      <c r="C3" s="281"/>
      <c r="D3" s="281"/>
      <c r="E3" s="281"/>
      <c r="F3" s="281"/>
    </row>
    <row r="4" spans="2:6" s="98" customFormat="1" ht="15.9" customHeight="1" x14ac:dyDescent="0.4">
      <c r="B4" s="282" t="s">
        <v>97</v>
      </c>
      <c r="C4" s="282"/>
      <c r="D4" s="282"/>
      <c r="E4" s="282"/>
      <c r="F4" s="282"/>
    </row>
    <row r="5" spans="2:6" s="98" customFormat="1" ht="15.9" customHeight="1" x14ac:dyDescent="0.4">
      <c r="B5" s="285" t="s">
        <v>223</v>
      </c>
      <c r="C5" s="285"/>
      <c r="D5" s="319" t="str">
        <f>NUMERO_PROCESSO</f>
        <v>1.23.000.000855/2020-32</v>
      </c>
      <c r="E5" s="319"/>
      <c r="F5" s="319"/>
    </row>
    <row r="6" spans="2:6" s="98" customFormat="1" ht="15.75" customHeight="1" x14ac:dyDescent="0.4">
      <c r="B6" s="289" t="s">
        <v>224</v>
      </c>
      <c r="C6" s="289"/>
      <c r="D6" s="320" t="str">
        <f>MODALIDADE_DE_LICITACAO</f>
        <v>Pregão nº</v>
      </c>
      <c r="E6" s="320"/>
      <c r="F6" s="118" t="str">
        <f>NUMERO_PREGAO</f>
        <v>XX/20XX</v>
      </c>
    </row>
    <row r="7" spans="2:6" s="99" customFormat="1" ht="15.75" customHeight="1" x14ac:dyDescent="0.45">
      <c r="B7" s="321" t="s">
        <v>58</v>
      </c>
      <c r="C7" s="321"/>
      <c r="D7" s="321"/>
      <c r="E7" s="321"/>
      <c r="F7" s="321"/>
    </row>
    <row r="8" spans="2:6" s="98" customFormat="1" ht="18" customHeight="1" x14ac:dyDescent="0.4">
      <c r="B8" s="25" t="s">
        <v>2</v>
      </c>
      <c r="C8" s="285" t="s">
        <v>63</v>
      </c>
      <c r="D8" s="285"/>
      <c r="E8" s="285"/>
      <c r="F8" s="119" t="str">
        <f>DATA_APRESENTACAO_PROPOSTA</f>
        <v>XX/XX/20XX</v>
      </c>
    </row>
    <row r="9" spans="2:6" s="98" customFormat="1" ht="15.9" customHeight="1" x14ac:dyDescent="0.25">
      <c r="B9" s="1" t="s">
        <v>3</v>
      </c>
      <c r="C9" s="67" t="s">
        <v>36</v>
      </c>
      <c r="D9" s="311" t="s">
        <v>270</v>
      </c>
      <c r="E9" s="311"/>
      <c r="F9" s="311"/>
    </row>
    <row r="10" spans="2:6" s="98" customFormat="1" ht="18.75" customHeight="1" x14ac:dyDescent="0.4">
      <c r="B10" s="25" t="s">
        <v>4</v>
      </c>
      <c r="C10" s="285" t="s">
        <v>37</v>
      </c>
      <c r="D10" s="285"/>
      <c r="E10" s="285"/>
      <c r="F10" s="120" t="str">
        <f>ACORDO_COLETIVO</f>
        <v>CCT 2020/2021</v>
      </c>
    </row>
    <row r="11" spans="2:6" s="98" customFormat="1" ht="15.9" customHeight="1" x14ac:dyDescent="0.4">
      <c r="B11" s="1" t="s">
        <v>5</v>
      </c>
      <c r="C11" s="311" t="s">
        <v>64</v>
      </c>
      <c r="D11" s="311"/>
      <c r="E11" s="311"/>
      <c r="F11" s="121">
        <f>NUMERO_MESES_EXEC_CONTRATUAL</f>
        <v>12</v>
      </c>
    </row>
    <row r="12" spans="2:6" s="98" customFormat="1" x14ac:dyDescent="0.4">
      <c r="B12" s="1" t="s">
        <v>6</v>
      </c>
      <c r="C12" s="312" t="s">
        <v>85</v>
      </c>
      <c r="D12" s="312"/>
      <c r="E12" s="312"/>
      <c r="F12" s="102">
        <v>2</v>
      </c>
    </row>
    <row r="13" spans="2:6" s="127" customFormat="1" ht="21" customHeight="1" x14ac:dyDescent="0.25">
      <c r="B13" s="125" t="s">
        <v>205</v>
      </c>
      <c r="C13" s="126"/>
      <c r="D13" s="126"/>
      <c r="E13" s="126"/>
      <c r="F13" s="126"/>
    </row>
    <row r="14" spans="2:6" s="98" customFormat="1" x14ac:dyDescent="0.4">
      <c r="B14" s="25">
        <v>1</v>
      </c>
      <c r="C14" s="243" t="s">
        <v>60</v>
      </c>
      <c r="D14" s="243"/>
      <c r="E14" s="247" t="str">
        <f>TIPO_DE_SERVICO</f>
        <v>Vigilância</v>
      </c>
      <c r="F14" s="247"/>
    </row>
    <row r="15" spans="2:6" s="99" customFormat="1" x14ac:dyDescent="0.4">
      <c r="B15" s="25">
        <v>2</v>
      </c>
      <c r="C15" s="27" t="s">
        <v>59</v>
      </c>
      <c r="D15" s="246" t="str">
        <f>CBO</f>
        <v>5173-30</v>
      </c>
      <c r="E15" s="246"/>
      <c r="F15" s="246"/>
    </row>
    <row r="16" spans="2:6" s="98" customFormat="1" ht="15" customHeight="1" x14ac:dyDescent="0.4">
      <c r="B16" s="25">
        <v>3</v>
      </c>
      <c r="C16" s="56" t="s">
        <v>61</v>
      </c>
      <c r="D16" s="247" t="str">
        <f>CATEGORIA_PROFISSIONAL</f>
        <v>Vigilante</v>
      </c>
      <c r="E16" s="247"/>
      <c r="F16" s="247"/>
    </row>
    <row r="17" spans="2:6" s="98" customFormat="1" ht="15" customHeight="1" x14ac:dyDescent="0.4">
      <c r="B17" s="25">
        <v>4</v>
      </c>
      <c r="C17" s="248" t="s">
        <v>62</v>
      </c>
      <c r="D17" s="248"/>
      <c r="E17" s="248"/>
      <c r="F17" s="135">
        <f>DATA_BASE_CATEGORIA</f>
        <v>43831</v>
      </c>
    </row>
    <row r="18" spans="2:6" s="124" customFormat="1" ht="30" customHeight="1" x14ac:dyDescent="0.4">
      <c r="B18" s="322" t="s">
        <v>40</v>
      </c>
      <c r="C18" s="322"/>
      <c r="D18" s="322"/>
      <c r="E18" s="322"/>
      <c r="F18" s="322"/>
    </row>
    <row r="19" spans="2:6" x14ac:dyDescent="0.4">
      <c r="B19" s="260" t="s">
        <v>52</v>
      </c>
      <c r="C19" s="260"/>
      <c r="D19" s="260"/>
      <c r="E19" s="260"/>
      <c r="F19" s="117">
        <v>2</v>
      </c>
    </row>
    <row r="20" spans="2:6" x14ac:dyDescent="0.4">
      <c r="B20" s="51" t="s">
        <v>8</v>
      </c>
      <c r="E20" s="14"/>
      <c r="F20" s="14"/>
    </row>
    <row r="21" spans="2:6" x14ac:dyDescent="0.4">
      <c r="B21" s="1">
        <v>1</v>
      </c>
      <c r="C21" s="250" t="s">
        <v>9</v>
      </c>
      <c r="D21" s="250"/>
      <c r="E21" s="250"/>
      <c r="F21" s="4" t="s">
        <v>13</v>
      </c>
    </row>
    <row r="22" spans="2:6" x14ac:dyDescent="0.4">
      <c r="B22" s="1" t="s">
        <v>2</v>
      </c>
      <c r="C22" s="249" t="s">
        <v>92</v>
      </c>
      <c r="D22" s="249"/>
      <c r="E22" s="249"/>
      <c r="F22" s="57">
        <f>SALARIO_BASE</f>
        <v>1401.07</v>
      </c>
    </row>
    <row r="23" spans="2:6" x14ac:dyDescent="0.4">
      <c r="B23" s="1" t="s">
        <v>3</v>
      </c>
      <c r="C23" s="300" t="s">
        <v>94</v>
      </c>
      <c r="D23" s="300"/>
      <c r="E23" s="300"/>
      <c r="F23" s="10">
        <f>PERC_ADIC_PERIC%*SALARIO_BASE</f>
        <v>420.32</v>
      </c>
    </row>
    <row r="24" spans="2:6" ht="15.75" customHeight="1" x14ac:dyDescent="0.4">
      <c r="B24" s="1" t="s">
        <v>4</v>
      </c>
      <c r="C24" s="331" t="s">
        <v>83</v>
      </c>
      <c r="D24" s="331"/>
      <c r="E24" s="331"/>
      <c r="F24" s="57">
        <f>7*15.2*0.2*((AL_1_A_SAL_BASE_12X36_NOT+AL_1_B_ADIC_PERIC_12X36_NOT)/220)</f>
        <v>176.18</v>
      </c>
    </row>
    <row r="25" spans="2:6" ht="15.75" customHeight="1" x14ac:dyDescent="0.4">
      <c r="B25" s="1" t="s">
        <v>5</v>
      </c>
      <c r="C25" s="300" t="s">
        <v>87</v>
      </c>
      <c r="D25" s="300"/>
      <c r="E25" s="300"/>
      <c r="F25" s="237">
        <f>((AL_1_A_SAL_BASE_12X36_NOT+AL_1_B_ADIC_PERIC_12X36_NOT)/DIVISOR_DE_HORAS)*((HORA_NORMAL-HORA_NOTURNA)/HORA_NOTURNA)*DIAS_NA_SEMANA*MEDIA_ANUAL_DIAS_TRABALHO_MES*1.2*1.5</f>
        <v>226.51</v>
      </c>
    </row>
    <row r="26" spans="2:6" x14ac:dyDescent="0.4">
      <c r="B26" s="1" t="s">
        <v>6</v>
      </c>
      <c r="C26" s="275" t="str">
        <f>OUTROS_REMUNERACAO_1_DESCRICAO</f>
        <v>DSR - Adicional noturno - 1/6</v>
      </c>
      <c r="D26" s="276"/>
      <c r="E26" s="277"/>
      <c r="F26" s="57">
        <f>1/6*AL_1_C_ADIC_NOT_12X36_NOT</f>
        <v>29.36</v>
      </c>
    </row>
    <row r="27" spans="2:6" x14ac:dyDescent="0.4">
      <c r="B27" s="1" t="s">
        <v>7</v>
      </c>
      <c r="C27" s="305" t="str">
        <f>OUTROS_REMUNERACAO_2_DESCRICAO</f>
        <v>DSR - Hora noturna reduzida - 1/6</v>
      </c>
      <c r="D27" s="306"/>
      <c r="E27" s="307"/>
      <c r="F27" s="10">
        <f>1/6*AL_1_D_ADIC_NOT_RED_12X36_NOT</f>
        <v>37.75</v>
      </c>
    </row>
    <row r="28" spans="2:6" x14ac:dyDescent="0.4">
      <c r="B28" s="329" t="s">
        <v>46</v>
      </c>
      <c r="C28" s="329"/>
      <c r="D28" s="329"/>
      <c r="E28" s="329"/>
      <c r="F28" s="40">
        <f>SUM(F22:F27)</f>
        <v>2291.19</v>
      </c>
    </row>
    <row r="29" spans="2:6" x14ac:dyDescent="0.4">
      <c r="B29" s="51" t="s">
        <v>65</v>
      </c>
      <c r="E29" s="21"/>
      <c r="F29" s="21"/>
    </row>
    <row r="30" spans="2:6" x14ac:dyDescent="0.4">
      <c r="B30" s="51" t="s">
        <v>110</v>
      </c>
      <c r="C30" s="12"/>
      <c r="D30" s="22"/>
      <c r="E30" s="20"/>
      <c r="F30" s="20"/>
    </row>
    <row r="31" spans="2:6" x14ac:dyDescent="0.4">
      <c r="B31" s="1" t="s">
        <v>66</v>
      </c>
      <c r="C31" s="260" t="s">
        <v>93</v>
      </c>
      <c r="D31" s="260"/>
      <c r="E31" s="4" t="s">
        <v>1</v>
      </c>
      <c r="F31" s="4" t="s">
        <v>13</v>
      </c>
    </row>
    <row r="32" spans="2:6" x14ac:dyDescent="0.4">
      <c r="B32" s="1" t="s">
        <v>2</v>
      </c>
      <c r="C32" s="298" t="s">
        <v>47</v>
      </c>
      <c r="D32" s="298"/>
      <c r="E32" s="59">
        <f>PERC_DEC_TERC</f>
        <v>8.33</v>
      </c>
      <c r="F32" s="58">
        <f>PERC_DEC_TERC%*MOD_1_REMUNERACAO_12X36_NOT</f>
        <v>190.86</v>
      </c>
    </row>
    <row r="33" spans="2:9" s="17" customFormat="1" x14ac:dyDescent="0.4">
      <c r="B33" s="2" t="s">
        <v>3</v>
      </c>
      <c r="C33" s="300" t="s">
        <v>95</v>
      </c>
      <c r="D33" s="300"/>
      <c r="E33" s="38">
        <f>PERC_ADIC_FERIAS</f>
        <v>2.78</v>
      </c>
      <c r="F33" s="36">
        <f>PERC_ADIC_FERIAS%*MOD_1_REMUNERACAO_12X36_NOT</f>
        <v>63.7</v>
      </c>
    </row>
    <row r="34" spans="2:9" s="107" customFormat="1" x14ac:dyDescent="0.4">
      <c r="B34" s="268" t="s">
        <v>46</v>
      </c>
      <c r="C34" s="269"/>
      <c r="D34" s="269"/>
      <c r="E34" s="270"/>
      <c r="F34" s="41">
        <f>SUM(F32:F33)</f>
        <v>254.56</v>
      </c>
    </row>
    <row r="35" spans="2:9" s="107" customFormat="1" ht="31.5" customHeight="1" x14ac:dyDescent="0.4">
      <c r="B35" s="330" t="s">
        <v>68</v>
      </c>
      <c r="C35" s="330"/>
      <c r="D35" s="330"/>
      <c r="E35" s="330"/>
      <c r="F35" s="330"/>
    </row>
    <row r="36" spans="2:9" s="107" customFormat="1" ht="34.5" customHeight="1" x14ac:dyDescent="0.4">
      <c r="B36" s="1" t="s">
        <v>69</v>
      </c>
      <c r="C36" s="304" t="s">
        <v>96</v>
      </c>
      <c r="D36" s="304"/>
      <c r="E36" s="4" t="s">
        <v>1</v>
      </c>
      <c r="F36" s="4" t="s">
        <v>13</v>
      </c>
    </row>
    <row r="37" spans="2:9" x14ac:dyDescent="0.4">
      <c r="B37" s="1" t="s">
        <v>2</v>
      </c>
      <c r="C37" s="298" t="s">
        <v>41</v>
      </c>
      <c r="D37" s="298"/>
      <c r="E37" s="59">
        <f>PERC_INSS</f>
        <v>20</v>
      </c>
      <c r="F37" s="58">
        <f>PERC_INSS%*(MOD_1_REMUNERACAO_12X36_NOT+SUBMOD_2_1_DEC_TERC_ADIC_FERIAS_12X36_NOT)</f>
        <v>509.15</v>
      </c>
    </row>
    <row r="38" spans="2:9" s="98" customFormat="1" x14ac:dyDescent="0.25">
      <c r="B38" s="2" t="s">
        <v>3</v>
      </c>
      <c r="C38" s="300" t="s">
        <v>43</v>
      </c>
      <c r="D38" s="300"/>
      <c r="E38" s="46">
        <f>PERC_SAL_EDUCACAO</f>
        <v>2.5</v>
      </c>
      <c r="F38" s="36">
        <f>PERC_SAL_EDUCACAO%*(MOD_1_REMUNERACAO_12X36_NOT+SUBMOD_2_1_DEC_TERC_ADIC_FERIAS_12X36_NOT)</f>
        <v>63.64</v>
      </c>
    </row>
    <row r="39" spans="2:9" s="98" customFormat="1" x14ac:dyDescent="0.25">
      <c r="B39" s="2" t="s">
        <v>4</v>
      </c>
      <c r="C39" s="275" t="s">
        <v>236</v>
      </c>
      <c r="D39" s="276"/>
      <c r="E39" s="59">
        <f>PERC_RAT</f>
        <v>6</v>
      </c>
      <c r="F39" s="58">
        <f>PERC_RAT%*(MOD_1_REMUNERACAO_12X36_NOT+SUBMOD_2_1_DEC_TERC_ADIC_FERIAS_12X36_NOT)</f>
        <v>152.75</v>
      </c>
    </row>
    <row r="40" spans="2:9" s="98" customFormat="1" x14ac:dyDescent="0.25">
      <c r="B40" s="2" t="s">
        <v>5</v>
      </c>
      <c r="C40" s="300" t="s">
        <v>88</v>
      </c>
      <c r="D40" s="300"/>
      <c r="E40" s="38">
        <f>PERC_SESC</f>
        <v>1.5</v>
      </c>
      <c r="F40" s="36">
        <f>PERC_SESC%*(MOD_1_REMUNERACAO_12X36_NOT+SUBMOD_2_1_DEC_TERC_ADIC_FERIAS_12X36_NOT)</f>
        <v>38.19</v>
      </c>
      <c r="I40" s="143"/>
    </row>
    <row r="41" spans="2:9" s="98" customFormat="1" x14ac:dyDescent="0.25">
      <c r="B41" s="2" t="s">
        <v>6</v>
      </c>
      <c r="C41" s="298" t="s">
        <v>89</v>
      </c>
      <c r="D41" s="298"/>
      <c r="E41" s="59">
        <f>PERC_SENAC</f>
        <v>1</v>
      </c>
      <c r="F41" s="58">
        <f>PERC_SENAC%*(MOD_1_REMUNERACAO_12X36_NOT+SUBMOD_2_1_DEC_TERC_ADIC_FERIAS_12X36_NOT)</f>
        <v>25.46</v>
      </c>
    </row>
    <row r="42" spans="2:9" s="99" customFormat="1" x14ac:dyDescent="0.25">
      <c r="B42" s="2" t="s">
        <v>7</v>
      </c>
      <c r="C42" s="300" t="s">
        <v>45</v>
      </c>
      <c r="D42" s="300"/>
      <c r="E42" s="46">
        <f>PERC_SEBRAE</f>
        <v>0.6</v>
      </c>
      <c r="F42" s="36">
        <f>PERC_SEBRAE%*(MOD_1_REMUNERACAO_12X36_NOT+SUBMOD_2_1_DEC_TERC_ADIC_FERIAS_12X36_NOT)</f>
        <v>15.27</v>
      </c>
    </row>
    <row r="43" spans="2:9" s="99" customFormat="1" x14ac:dyDescent="0.25">
      <c r="B43" s="2" t="s">
        <v>10</v>
      </c>
      <c r="C43" s="298" t="s">
        <v>42</v>
      </c>
      <c r="D43" s="298"/>
      <c r="E43" s="59">
        <f>PERC_INCRA</f>
        <v>0.2</v>
      </c>
      <c r="F43" s="58">
        <f>PERC_INCRA%*(MOD_1_REMUNERACAO_12X36_NOT+SUBMOD_2_1_DEC_TERC_ADIC_FERIAS_12X36_NOT)</f>
        <v>5.09</v>
      </c>
    </row>
    <row r="44" spans="2:9" x14ac:dyDescent="0.4">
      <c r="B44" s="2" t="s">
        <v>11</v>
      </c>
      <c r="C44" s="300" t="s">
        <v>44</v>
      </c>
      <c r="D44" s="300"/>
      <c r="E44" s="46">
        <f>PERC_FGTS</f>
        <v>8</v>
      </c>
      <c r="F44" s="36">
        <f>PERC_FGTS%*(MOD_1_REMUNERACAO_12X36_NOT+SUBMOD_2_1_DEC_TERC_ADIC_FERIAS_12X36_NOT)</f>
        <v>203.66</v>
      </c>
    </row>
    <row r="45" spans="2:9" x14ac:dyDescent="0.4">
      <c r="B45" s="268" t="s">
        <v>46</v>
      </c>
      <c r="C45" s="269"/>
      <c r="D45" s="269"/>
      <c r="E45" s="270"/>
      <c r="F45" s="42">
        <f>SUM(F37:F44)</f>
        <v>1013.21</v>
      </c>
    </row>
    <row r="46" spans="2:9" ht="15.75" customHeight="1" x14ac:dyDescent="0.4">
      <c r="B46" s="51" t="s">
        <v>71</v>
      </c>
      <c r="C46" s="99"/>
      <c r="D46" s="99"/>
      <c r="E46" s="99"/>
      <c r="F46" s="99"/>
    </row>
    <row r="47" spans="2:9" ht="15.75" customHeight="1" x14ac:dyDescent="0.4">
      <c r="B47" s="1" t="s">
        <v>90</v>
      </c>
      <c r="C47" s="250" t="s">
        <v>14</v>
      </c>
      <c r="D47" s="250"/>
      <c r="E47" s="250"/>
      <c r="F47" s="4" t="s">
        <v>13</v>
      </c>
    </row>
    <row r="48" spans="2:9" x14ac:dyDescent="0.4">
      <c r="B48" s="25" t="s">
        <v>2</v>
      </c>
      <c r="C48" s="298" t="s">
        <v>15</v>
      </c>
      <c r="D48" s="298"/>
      <c r="E48" s="298"/>
      <c r="F48" s="58">
        <f>IF(((TRANSPORTE_POR_DIA*DIAS_TRABALHADOS_NO_MES_12X36)-(PERC_DESC_TRANSP_REMUNERACAO%*(AL_1_A_SAL_BASE_12X36_NOT/2)))&gt;0,((TRANSPORTE_POR_DIA*DIAS_TRABALHADOS_NO_MES_12X36)-(PERC_DESC_TRANSP_REMUNERACAO%*(AL_1_A_SAL_BASE_12X36_NOT/2))),0)</f>
        <v>65.97</v>
      </c>
    </row>
    <row r="49" spans="2:7" s="107" customFormat="1" x14ac:dyDescent="0.4">
      <c r="B49" s="25" t="s">
        <v>3</v>
      </c>
      <c r="C49" s="300" t="s">
        <v>70</v>
      </c>
      <c r="D49" s="300"/>
      <c r="E49" s="300"/>
      <c r="F49" s="36">
        <f>ALIMENTACAO_POR_DIA*DIAS_TRABALHADOS_NO_MES_12X36*0.99</f>
        <v>386.1</v>
      </c>
      <c r="G49" s="13"/>
    </row>
    <row r="50" spans="2:7" s="107" customFormat="1" x14ac:dyDescent="0.4">
      <c r="B50" s="25" t="s">
        <v>4</v>
      </c>
      <c r="C50" s="275" t="str">
        <f>OUTROS_BENEFICIOS_1_DESCRICAO</f>
        <v>Auxílio saúde</v>
      </c>
      <c r="D50" s="276"/>
      <c r="E50" s="277"/>
      <c r="F50" s="58"/>
      <c r="G50" s="13"/>
    </row>
    <row r="51" spans="2:7" s="107" customFormat="1" x14ac:dyDescent="0.4">
      <c r="B51" s="25" t="s">
        <v>5</v>
      </c>
      <c r="C51" s="305" t="str">
        <f>OUTROS_BENEFICIOS_2_DESCRICAO</f>
        <v>Auxílio morte/funeral</v>
      </c>
      <c r="D51" s="306"/>
      <c r="E51" s="307"/>
      <c r="F51" s="36"/>
      <c r="G51" s="13"/>
    </row>
    <row r="52" spans="2:7" s="107" customFormat="1" x14ac:dyDescent="0.4">
      <c r="B52" s="25" t="s">
        <v>6</v>
      </c>
      <c r="C52" s="275" t="str">
        <f>OUTROS_BENEFICIOS_3_DESCRICAO</f>
        <v>Seguro de vida</v>
      </c>
      <c r="D52" s="276"/>
      <c r="E52" s="277"/>
      <c r="F52" s="58"/>
    </row>
    <row r="53" spans="2:7" s="107" customFormat="1" ht="15" customHeight="1" x14ac:dyDescent="0.4">
      <c r="B53" s="329" t="s">
        <v>46</v>
      </c>
      <c r="C53" s="329"/>
      <c r="D53" s="329"/>
      <c r="E53" s="329"/>
      <c r="F53" s="40">
        <f>SUM(F48:F52)</f>
        <v>452.07</v>
      </c>
    </row>
    <row r="54" spans="2:7" s="107" customFormat="1" x14ac:dyDescent="0.4">
      <c r="B54" s="51" t="s">
        <v>72</v>
      </c>
      <c r="C54" s="12"/>
      <c r="D54" s="22"/>
      <c r="E54" s="20"/>
      <c r="F54" s="20"/>
    </row>
    <row r="55" spans="2:7" s="107" customFormat="1" ht="15" customHeight="1" x14ac:dyDescent="0.4">
      <c r="B55" s="1">
        <v>3</v>
      </c>
      <c r="C55" s="260" t="s">
        <v>48</v>
      </c>
      <c r="D55" s="260"/>
      <c r="E55" s="4" t="s">
        <v>1</v>
      </c>
      <c r="F55" s="4" t="s">
        <v>13</v>
      </c>
    </row>
    <row r="56" spans="2:7" s="107" customFormat="1" x14ac:dyDescent="0.4">
      <c r="B56" s="1" t="s">
        <v>2</v>
      </c>
      <c r="C56" s="301" t="s">
        <v>49</v>
      </c>
      <c r="D56" s="301"/>
      <c r="E56" s="59">
        <f>PERC_AVISO_PREVIO_IND</f>
        <v>0.28999999999999998</v>
      </c>
      <c r="F56" s="58">
        <f>PERC_AVISO_PREVIO_IND%*(MOD_1_REMUNERACAO_12X36_NOT+SUBMOD_2_1_DEC_TERC_ADIC_FERIAS_12X36_NOT+AL_2_2_FGTS_12X36_NOT+SUBMOD_2_3_BENEFICIOS_12X36_NOT)</f>
        <v>9.2799999999999994</v>
      </c>
    </row>
    <row r="57" spans="2:7" s="107" customFormat="1" x14ac:dyDescent="0.4">
      <c r="B57" s="2" t="s">
        <v>3</v>
      </c>
      <c r="C57" s="303" t="s">
        <v>50</v>
      </c>
      <c r="D57" s="303"/>
      <c r="E57" s="46">
        <f>PERC_AVISO_PREVIO_TRAB</f>
        <v>1.1599999999999999</v>
      </c>
      <c r="F57" s="36">
        <f>PERC_AVISO_PREVIO_TRAB%*(MOD_1_REMUNERACAO_12X36_NOT+SUBMOD_2_1_DEC_TERC_ADIC_FERIAS_12X36_NOT+SUBMOD_2_2_GPS_FGTS_12X36_NOT+SUBMOD_2_3_BENEFICIOS_12X36_NOT)</f>
        <v>46.53</v>
      </c>
    </row>
    <row r="58" spans="2:7" s="98" customFormat="1" x14ac:dyDescent="0.25">
      <c r="B58" s="2" t="s">
        <v>4</v>
      </c>
      <c r="C58" s="301" t="s">
        <v>232</v>
      </c>
      <c r="D58" s="301"/>
      <c r="E58" s="59">
        <f>PERC_MULTA_FGTS_AV_PREV_TRAB</f>
        <v>0.04</v>
      </c>
      <c r="F58" s="58">
        <f>PERC_MULTA_FGTS_AV_PREV_TRAB%*(MOD_1_REMUNERACAO_12X36_NOT+SUBMOD_2_1_DEC_TERC_ADIC_FERIAS_12X36_NOT)</f>
        <v>1.02</v>
      </c>
    </row>
    <row r="59" spans="2:7" s="98" customFormat="1" x14ac:dyDescent="0.4">
      <c r="B59" s="268" t="s">
        <v>46</v>
      </c>
      <c r="C59" s="269"/>
      <c r="D59" s="269"/>
      <c r="E59" s="270"/>
      <c r="F59" s="41">
        <f>SUM(F56:F58)</f>
        <v>56.83</v>
      </c>
    </row>
    <row r="60" spans="2:7" ht="7.5" customHeight="1" x14ac:dyDescent="0.4">
      <c r="B60" s="16"/>
      <c r="C60" s="17"/>
      <c r="D60" s="18"/>
      <c r="E60" s="14"/>
      <c r="F60" s="14"/>
    </row>
    <row r="61" spans="2:7" s="98" customFormat="1" ht="15.9" customHeight="1" x14ac:dyDescent="0.4">
      <c r="B61" s="51" t="s">
        <v>73</v>
      </c>
      <c r="C61" s="12"/>
      <c r="D61" s="22"/>
      <c r="E61" s="13"/>
      <c r="F61" s="13"/>
    </row>
    <row r="62" spans="2:7" s="98" customFormat="1" ht="15.9" customHeight="1" x14ac:dyDescent="0.4">
      <c r="B62" s="51" t="s">
        <v>102</v>
      </c>
      <c r="C62" s="12"/>
      <c r="D62" s="22"/>
      <c r="E62" s="20"/>
      <c r="F62" s="20"/>
    </row>
    <row r="63" spans="2:7" s="98" customFormat="1" x14ac:dyDescent="0.25">
      <c r="B63" s="1" t="s">
        <v>18</v>
      </c>
      <c r="C63" s="302" t="s">
        <v>103</v>
      </c>
      <c r="D63" s="302"/>
      <c r="E63" s="4" t="s">
        <v>1</v>
      </c>
      <c r="F63" s="4" t="s">
        <v>13</v>
      </c>
    </row>
    <row r="64" spans="2:7" s="98" customFormat="1" ht="15.9" customHeight="1" x14ac:dyDescent="0.25">
      <c r="B64" s="2" t="s">
        <v>2</v>
      </c>
      <c r="C64" s="298" t="s">
        <v>104</v>
      </c>
      <c r="D64" s="298"/>
      <c r="E64" s="59">
        <f>PERC_SUBSTITUTO_FERIAS</f>
        <v>8.33</v>
      </c>
      <c r="F64" s="58">
        <f>PERC_SUBSTITUTO_FERIAS%*(MOD_1_REMUNERACAO_12X36_NOT+MOD_2_ENCARGOS_BENEFICIOS_12X36_NOT+MOD_3_PROVISAO_RESCISAO_12X36_NOT)</f>
        <v>338.85</v>
      </c>
    </row>
    <row r="65" spans="2:7" s="98" customFormat="1" ht="15.9" customHeight="1" x14ac:dyDescent="0.25">
      <c r="B65" s="2" t="s">
        <v>3</v>
      </c>
      <c r="C65" s="300" t="s">
        <v>105</v>
      </c>
      <c r="D65" s="300"/>
      <c r="E65" s="46">
        <f>PERC_SUBSTITUTO_AUSENCIAS_LEGAIS</f>
        <v>2.2200000000000002</v>
      </c>
      <c r="F65" s="36">
        <f>PERC_SUBSTITUTO_AUSENCIAS_LEGAIS%*(MOD_1_REMUNERACAO_12X36_NOT+MOD_2_ENCARGOS_BENEFICIOS_12X36_NOT+MOD_3_PROVISAO_RESCISAO_12X36_NOT)</f>
        <v>90.31</v>
      </c>
    </row>
    <row r="66" spans="2:7" s="98" customFormat="1" ht="15.9" customHeight="1" x14ac:dyDescent="0.25">
      <c r="B66" s="2" t="s">
        <v>4</v>
      </c>
      <c r="C66" s="298" t="s">
        <v>106</v>
      </c>
      <c r="D66" s="298"/>
      <c r="E66" s="59">
        <f>PERC_SUBSTITUTO_LICENCA_PATERNIDADE</f>
        <v>7.0000000000000007E-2</v>
      </c>
      <c r="F66" s="58">
        <f>PERC_SUBSTITUTO_LICENCA_PATERNIDADE%*(MOD_1_REMUNERACAO_12X36_NOT+MOD_2_ENCARGOS_BENEFICIOS_12X36_NOT+MOD_3_PROVISAO_RESCISAO_12X36_NOT)</f>
        <v>2.85</v>
      </c>
    </row>
    <row r="67" spans="2:7" s="98" customFormat="1" x14ac:dyDescent="0.25">
      <c r="B67" s="2" t="s">
        <v>5</v>
      </c>
      <c r="C67" s="300" t="s">
        <v>107</v>
      </c>
      <c r="D67" s="300"/>
      <c r="E67" s="46">
        <f>PERC_SUBSTITUTO_ACID_TRAB</f>
        <v>0.02</v>
      </c>
      <c r="F67" s="36">
        <f>PERC_SUBSTITUTO_ACID_TRAB%*(MOD_1_REMUNERACAO_12X36_NOT+MOD_2_ENCARGOS_BENEFICIOS_12X36_NOT+MOD_3_PROVISAO_RESCISAO_12X36_NOT)</f>
        <v>0.81</v>
      </c>
    </row>
    <row r="68" spans="2:7" s="98" customFormat="1" x14ac:dyDescent="0.25">
      <c r="B68" s="2" t="s">
        <v>6</v>
      </c>
      <c r="C68" s="298" t="s">
        <v>108</v>
      </c>
      <c r="D68" s="298"/>
      <c r="E68" s="59">
        <f>PERC_SUBSTITUTO_AFAST_MATERN</f>
        <v>0.04</v>
      </c>
      <c r="F68" s="58">
        <f>PERC_SUBSTITUTO_AFAST_MATERN%*(MOD_1_REMUNERACAO_12X36_NOT+MOD_2_ENCARGOS_BENEFICIOS_12X36_NOT+MOD_3_PROVISAO_RESCISAO_12X36_NOT)</f>
        <v>1.63</v>
      </c>
    </row>
    <row r="69" spans="2:7" s="98" customFormat="1" x14ac:dyDescent="0.25">
      <c r="B69" s="2" t="s">
        <v>7</v>
      </c>
      <c r="C69" s="325" t="str">
        <f>OUTRAS_AUSENCIAS_DESCRICAO</f>
        <v>Outras Ausências (Especificar - em %)</v>
      </c>
      <c r="D69" s="300"/>
      <c r="E69" s="53">
        <f>PERC_SUBSTITUTO_OUTRAS_AUSENCIAS</f>
        <v>0</v>
      </c>
      <c r="F69" s="36">
        <f>PERC_SUBSTITUTO_OUTRAS_AUSENCIAS%*(MOD_1_REMUNERACAO_12X36_NOT+MOD_2_ENCARGOS_BENEFICIOS_12X36_NOT+MOD_3_PROVISAO_RESCISAO_12X36_NOT)</f>
        <v>0</v>
      </c>
    </row>
    <row r="70" spans="2:7" s="98" customFormat="1" x14ac:dyDescent="0.4">
      <c r="B70" s="268" t="s">
        <v>46</v>
      </c>
      <c r="C70" s="269"/>
      <c r="D70" s="269"/>
      <c r="E70" s="270"/>
      <c r="F70" s="41">
        <f>SUM(F64:F69)</f>
        <v>434.45</v>
      </c>
    </row>
    <row r="71" spans="2:7" s="98" customFormat="1" ht="15" customHeight="1" x14ac:dyDescent="0.4">
      <c r="B71" s="51" t="s">
        <v>226</v>
      </c>
      <c r="C71" s="12"/>
      <c r="D71" s="22"/>
      <c r="E71" s="20"/>
      <c r="F71" s="20"/>
    </row>
    <row r="72" spans="2:7" s="98" customFormat="1" x14ac:dyDescent="0.25">
      <c r="B72" s="1" t="s">
        <v>19</v>
      </c>
      <c r="C72" s="260" t="s">
        <v>225</v>
      </c>
      <c r="D72" s="260"/>
      <c r="E72" s="260"/>
      <c r="F72" s="4" t="s">
        <v>13</v>
      </c>
    </row>
    <row r="73" spans="2:7" s="98" customFormat="1" ht="16.5" customHeight="1" x14ac:dyDescent="0.25">
      <c r="B73" s="1" t="s">
        <v>2</v>
      </c>
      <c r="C73" s="298" t="s">
        <v>109</v>
      </c>
      <c r="D73" s="298"/>
      <c r="E73" s="298"/>
      <c r="F73" s="57">
        <f>((MOD_1_REMUNERACAO_12X36_NOT+MOD_2_ENCARGOS_BENEFICIOS_12X36_NOT+MOD_3_PROVISAO_RESCISAO_12X36_NOT)/DIVISOR_DE_HORAS)*((TEMPO_INTERVALO_REFEICAO/HORA_NORMAL))*DIAS_TRABALHADOS_NO_MES_12X36</f>
        <v>277.35000000000002</v>
      </c>
      <c r="G73" s="141"/>
    </row>
    <row r="74" spans="2:7" s="98" customFormat="1" x14ac:dyDescent="0.4">
      <c r="B74" s="260" t="s">
        <v>46</v>
      </c>
      <c r="C74" s="260"/>
      <c r="D74" s="260"/>
      <c r="E74" s="260"/>
      <c r="F74" s="41">
        <f>SUM(F73:F73)</f>
        <v>277.35000000000002</v>
      </c>
    </row>
    <row r="75" spans="2:7" ht="7.5" customHeight="1" x14ac:dyDescent="0.4">
      <c r="B75" s="16"/>
      <c r="C75" s="17"/>
      <c r="D75" s="18"/>
      <c r="E75" s="14"/>
      <c r="F75" s="14"/>
    </row>
    <row r="76" spans="2:7" x14ac:dyDescent="0.4">
      <c r="B76" s="51" t="s">
        <v>77</v>
      </c>
      <c r="C76" s="12"/>
      <c r="D76" s="12"/>
      <c r="E76" s="20"/>
      <c r="F76" s="20"/>
    </row>
    <row r="77" spans="2:7" ht="15.75" customHeight="1" x14ac:dyDescent="0.4">
      <c r="B77" s="49">
        <v>5</v>
      </c>
      <c r="C77" s="271" t="s">
        <v>0</v>
      </c>
      <c r="D77" s="271"/>
      <c r="E77" s="271"/>
      <c r="F77" s="50" t="s">
        <v>13</v>
      </c>
    </row>
    <row r="78" spans="2:7" x14ac:dyDescent="0.4">
      <c r="B78" s="44" t="s">
        <v>2</v>
      </c>
      <c r="C78" s="272" t="s">
        <v>16</v>
      </c>
      <c r="D78" s="272"/>
      <c r="E78" s="272"/>
      <c r="F78" s="60">
        <f>UNIFORMES</f>
        <v>244.71</v>
      </c>
    </row>
    <row r="79" spans="2:7" x14ac:dyDescent="0.4">
      <c r="B79" s="44" t="s">
        <v>3</v>
      </c>
      <c r="C79" s="273" t="s">
        <v>285</v>
      </c>
      <c r="D79" s="273"/>
      <c r="E79" s="273"/>
      <c r="F79" s="47">
        <f>MATERIAIS</f>
        <v>77.400000000000006</v>
      </c>
    </row>
    <row r="80" spans="2:7" x14ac:dyDescent="0.4">
      <c r="B80" s="44" t="s">
        <v>4</v>
      </c>
      <c r="C80" s="272" t="s">
        <v>286</v>
      </c>
      <c r="D80" s="272"/>
      <c r="E80" s="272"/>
      <c r="F80" s="60">
        <f>EQUIPAMENTOS</f>
        <v>8.09</v>
      </c>
    </row>
    <row r="81" spans="2:6" x14ac:dyDescent="0.4">
      <c r="B81" s="44" t="s">
        <v>5</v>
      </c>
      <c r="C81" s="324" t="str">
        <f>OUTROS_INSUMOS_DESCRICAO</f>
        <v>Outros (Especificar)</v>
      </c>
      <c r="D81" s="273"/>
      <c r="E81" s="273"/>
      <c r="F81" s="47">
        <f>OUTROS_INSUMOS</f>
        <v>0</v>
      </c>
    </row>
    <row r="82" spans="2:6" x14ac:dyDescent="0.4">
      <c r="B82" s="328" t="s">
        <v>46</v>
      </c>
      <c r="C82" s="328"/>
      <c r="D82" s="328"/>
      <c r="E82" s="328"/>
      <c r="F82" s="43">
        <f>SUM(F78:F81)</f>
        <v>330.2</v>
      </c>
    </row>
    <row r="83" spans="2:6" ht="7.5" customHeight="1" x14ac:dyDescent="0.4">
      <c r="B83" s="16"/>
      <c r="C83" s="17"/>
      <c r="D83" s="18"/>
      <c r="E83" s="14"/>
      <c r="F83" s="14"/>
    </row>
    <row r="84" spans="2:6" ht="15" customHeight="1" x14ac:dyDescent="0.4">
      <c r="B84" s="264" t="s">
        <v>76</v>
      </c>
      <c r="C84" s="264"/>
      <c r="D84" s="264"/>
      <c r="E84" s="264"/>
      <c r="F84" s="264"/>
    </row>
    <row r="85" spans="2:6" x14ac:dyDescent="0.4">
      <c r="B85" s="1">
        <v>6</v>
      </c>
      <c r="C85" s="260" t="s">
        <v>20</v>
      </c>
      <c r="D85" s="260"/>
      <c r="E85" s="4" t="s">
        <v>1</v>
      </c>
      <c r="F85" s="4" t="s">
        <v>13</v>
      </c>
    </row>
    <row r="86" spans="2:6" x14ac:dyDescent="0.4">
      <c r="B86" s="1" t="s">
        <v>2</v>
      </c>
      <c r="C86" s="298" t="s">
        <v>78</v>
      </c>
      <c r="D86" s="298"/>
      <c r="E86" s="61">
        <f>PERC_CUSTOS_INDIRETOS</f>
        <v>4.8499999999999996</v>
      </c>
      <c r="F86" s="58">
        <f>PERC_CUSTOS_INDIRETOS%*(MOD_1_REMUNERACAO_12X36_NOT+MOD_2_ENCARGOS_BENEFICIOS_12X36_NOT+MOD_3_PROVISAO_RESCISAO_12X36_NOT+MOD_4_CUSTO_REPOSICAO_12X36_NOT+MOD_5_INSUMOS_12X36_NOT)</f>
        <v>247.83</v>
      </c>
    </row>
    <row r="87" spans="2:6" ht="15.75" customHeight="1" x14ac:dyDescent="0.4">
      <c r="B87" s="2" t="s">
        <v>3</v>
      </c>
      <c r="C87" s="300" t="s">
        <v>32</v>
      </c>
      <c r="D87" s="300"/>
      <c r="E87" s="48">
        <f>PERC_LUCRO</f>
        <v>5.45</v>
      </c>
      <c r="F87" s="36">
        <f>PERC_LUCRO%*(MOD_1_REMUNERACAO_12X36_NOT+MOD_2_ENCARGOS_BENEFICIOS_12X36_NOT+MOD_3_PROVISAO_RESCISAO_12X36_NOT+MOD_4_CUSTO_REPOSICAO_12X36_NOT+MOD_5_INSUMOS_12X36_NOT+AL_6_A_CUSTOS_INDIRETOS_12X36_NOT)</f>
        <v>291.99</v>
      </c>
    </row>
    <row r="88" spans="2:6" x14ac:dyDescent="0.4">
      <c r="B88" s="2" t="s">
        <v>4</v>
      </c>
      <c r="C88" s="298" t="s">
        <v>21</v>
      </c>
      <c r="D88" s="298"/>
      <c r="E88" s="61">
        <f>SUM(E89:E91)</f>
        <v>8.65</v>
      </c>
      <c r="F88" s="58">
        <f>SUM(F89:F91)</f>
        <v>534.97</v>
      </c>
    </row>
    <row r="89" spans="2:6" ht="15.75" customHeight="1" x14ac:dyDescent="0.4">
      <c r="B89" s="30" t="s">
        <v>79</v>
      </c>
      <c r="C89" s="326" t="s">
        <v>23</v>
      </c>
      <c r="D89" s="326"/>
      <c r="E89" s="31">
        <f>PERC_PIS</f>
        <v>0.65</v>
      </c>
      <c r="F89" s="63">
        <f>((MOD_1_REMUNERACAO_12X36_NOT+MOD_2_ENCARGOS_BENEFICIOS_12X36_NOT+MOD_3_PROVISAO_RESCISAO_12X36_NOT+MOD_4_CUSTO_REPOSICAO_12X36_NOT+MOD_5_INSUMOS_12X36_NOT+AL_6_A_CUSTOS_INDIRETOS_12X36_NOT+AL_6_B_LUCRO_12X36_NOT)*PERC_PIS%)/(1-PERC_TRIBUTOS%)</f>
        <v>40.200000000000003</v>
      </c>
    </row>
    <row r="90" spans="2:6" x14ac:dyDescent="0.4">
      <c r="B90" s="30" t="s">
        <v>80</v>
      </c>
      <c r="C90" s="327" t="s">
        <v>24</v>
      </c>
      <c r="D90" s="327"/>
      <c r="E90" s="62">
        <f>PERC_COFINS</f>
        <v>3</v>
      </c>
      <c r="F90" s="64">
        <f>((MOD_1_REMUNERACAO_12X36_NOT+MOD_2_ENCARGOS_BENEFICIOS_12X36_NOT+MOD_3_PROVISAO_RESCISAO_12X36_NOT+MOD_4_CUSTO_REPOSICAO_12X36_NOT+MOD_5_INSUMOS_12X36_NOT+AL_6_A_CUSTOS_INDIRETOS_12X36_NOT+AL_6_B_LUCRO_12X36_NOT)*PERC_COFINS%)/(1-PERC_TRIBUTOS%)</f>
        <v>185.54</v>
      </c>
    </row>
    <row r="91" spans="2:6" s="108" customFormat="1" x14ac:dyDescent="0.4">
      <c r="B91" s="30" t="s">
        <v>81</v>
      </c>
      <c r="C91" s="326" t="s">
        <v>25</v>
      </c>
      <c r="D91" s="326"/>
      <c r="E91" s="31">
        <f>PERC_ISS</f>
        <v>5</v>
      </c>
      <c r="F91" s="63">
        <f>((MOD_1_REMUNERACAO_12X36_NOT+MOD_2_ENCARGOS_BENEFICIOS_12X36_NOT+MOD_3_PROVISAO_RESCISAO_12X36_NOT+MOD_4_CUSTO_REPOSICAO_12X36_NOT+MOD_5_INSUMOS_12X36_NOT+AL_6_A_CUSTOS_INDIRETOS_12X36_NOT+AL_6_B_LUCRO_12X36_NOT)*PERC_ISS%)/(1-PERC_TRIBUTOS%)</f>
        <v>309.23</v>
      </c>
    </row>
    <row r="92" spans="2:6" s="108" customFormat="1" x14ac:dyDescent="0.4">
      <c r="B92" s="268" t="s">
        <v>46</v>
      </c>
      <c r="C92" s="269"/>
      <c r="D92" s="269"/>
      <c r="E92" s="270"/>
      <c r="F92" s="37">
        <f>AL_6_A_CUSTOS_INDIRETOS_12X36_NOT+AL_6_B_LUCRO_12X36_NOT+AL_6_C_TRIBUTOS_12X36_NOT</f>
        <v>1074.79</v>
      </c>
    </row>
    <row r="93" spans="2:6" s="108" customFormat="1" x14ac:dyDescent="0.4">
      <c r="B93" s="264" t="s">
        <v>261</v>
      </c>
      <c r="C93" s="264"/>
      <c r="D93" s="264"/>
      <c r="E93" s="264"/>
      <c r="F93" s="264"/>
    </row>
    <row r="94" spans="2:6" s="108" customFormat="1" x14ac:dyDescent="0.4">
      <c r="B94" s="147" t="s">
        <v>2</v>
      </c>
      <c r="C94" s="275" t="str">
        <f>'INSERÇÃO-DE-DADOS'!C86:E86</f>
        <v>Dia do Vigilante - Clausula 82ª CCT - Jornada 12x36 noturno</v>
      </c>
      <c r="D94" s="276"/>
      <c r="E94" s="277"/>
      <c r="F94" s="57">
        <f>'INSERÇÃO-DE-DADOS'!F86</f>
        <v>11.69</v>
      </c>
    </row>
    <row r="95" spans="2:6" s="108" customFormat="1" ht="20.399999999999999" x14ac:dyDescent="0.4">
      <c r="B95" s="52" t="s">
        <v>53</v>
      </c>
      <c r="C95" s="15"/>
      <c r="D95" s="15"/>
      <c r="E95" s="15"/>
      <c r="F95" s="23"/>
    </row>
    <row r="96" spans="2:6" s="109" customFormat="1" ht="16.5" customHeight="1" x14ac:dyDescent="0.4">
      <c r="B96" s="2" t="s">
        <v>98</v>
      </c>
      <c r="C96" s="257" t="s">
        <v>99</v>
      </c>
      <c r="D96" s="258"/>
      <c r="E96" s="259"/>
      <c r="F96" s="4" t="s">
        <v>17</v>
      </c>
    </row>
    <row r="97" spans="2:6" s="108" customFormat="1" x14ac:dyDescent="0.4">
      <c r="B97" s="1">
        <v>1</v>
      </c>
      <c r="C97" s="298" t="s">
        <v>9</v>
      </c>
      <c r="D97" s="298"/>
      <c r="E97" s="298"/>
      <c r="F97" s="58">
        <f>MOD_1_REMUNERACAO_12X36_NOT</f>
        <v>2291.19</v>
      </c>
    </row>
    <row r="98" spans="2:6" s="110" customFormat="1" ht="16.5" customHeight="1" x14ac:dyDescent="0.4">
      <c r="B98" s="2">
        <v>2</v>
      </c>
      <c r="C98" s="300" t="s">
        <v>100</v>
      </c>
      <c r="D98" s="300"/>
      <c r="E98" s="300"/>
      <c r="F98" s="36">
        <f>MOD_2_ENCARGOS_BENEFICIOS_12X36_NOT</f>
        <v>1719.84</v>
      </c>
    </row>
    <row r="99" spans="2:6" s="110" customFormat="1" x14ac:dyDescent="0.4">
      <c r="B99" s="2">
        <v>3</v>
      </c>
      <c r="C99" s="298" t="s">
        <v>48</v>
      </c>
      <c r="D99" s="298"/>
      <c r="E99" s="298"/>
      <c r="F99" s="58">
        <f>MOD_3_PROVISAO_RESCISAO_12X36_NOT</f>
        <v>56.83</v>
      </c>
    </row>
    <row r="100" spans="2:6" s="110" customFormat="1" x14ac:dyDescent="0.4">
      <c r="B100" s="2">
        <v>4</v>
      </c>
      <c r="C100" s="300" t="s">
        <v>51</v>
      </c>
      <c r="D100" s="300"/>
      <c r="E100" s="300"/>
      <c r="F100" s="36">
        <f>MOD_4_CUSTO_REPOSICAO_12X36_NOT</f>
        <v>711.8</v>
      </c>
    </row>
    <row r="101" spans="2:6" s="110" customFormat="1" x14ac:dyDescent="0.4">
      <c r="B101" s="2">
        <v>5</v>
      </c>
      <c r="C101" s="298" t="s">
        <v>0</v>
      </c>
      <c r="D101" s="298"/>
      <c r="E101" s="298"/>
      <c r="F101" s="58">
        <f>MOD_5_INSUMOS_12X36_NOT</f>
        <v>330.2</v>
      </c>
    </row>
    <row r="102" spans="2:6" s="110" customFormat="1" x14ac:dyDescent="0.4">
      <c r="B102" s="2">
        <v>6</v>
      </c>
      <c r="C102" s="300" t="s">
        <v>20</v>
      </c>
      <c r="D102" s="300"/>
      <c r="E102" s="300"/>
      <c r="F102" s="36">
        <f>MOD_6_CUSTOS_IND_LUCRO_TRIB_12X36_NOT</f>
        <v>1074.79</v>
      </c>
    </row>
    <row r="103" spans="2:6" s="110" customFormat="1" ht="33.6" x14ac:dyDescent="0.4">
      <c r="B103" s="2">
        <v>7</v>
      </c>
      <c r="C103" s="149" t="str">
        <f>C94</f>
        <v>Dia do Vigilante - Clausula 82ª CCT - Jornada 12x36 noturno</v>
      </c>
      <c r="D103" s="146"/>
      <c r="E103" s="146"/>
      <c r="F103" s="36">
        <f>F94</f>
        <v>11.69</v>
      </c>
    </row>
    <row r="104" spans="2:6" ht="16.5" customHeight="1" x14ac:dyDescent="0.4">
      <c r="B104" s="302" t="s">
        <v>101</v>
      </c>
      <c r="C104" s="302"/>
      <c r="D104" s="302"/>
      <c r="E104" s="302"/>
      <c r="F104" s="37">
        <f>SUM(F97:F103)</f>
        <v>6196.34</v>
      </c>
    </row>
    <row r="105" spans="2:6" ht="16.5" customHeight="1" x14ac:dyDescent="0.4">
      <c r="B105" s="302" t="s">
        <v>30</v>
      </c>
      <c r="C105" s="302"/>
      <c r="D105" s="302"/>
      <c r="E105" s="302"/>
      <c r="F105" s="37">
        <f>VALOR_TOTAL_EMPREGADO_12x36_NOT*EMPREG_POR_POSTO_12X36_NOT</f>
        <v>12392.68</v>
      </c>
    </row>
  </sheetData>
  <mergeCells count="93">
    <mergeCell ref="B93:F93"/>
    <mergeCell ref="C94:E94"/>
    <mergeCell ref="C102:E102"/>
    <mergeCell ref="B104:E104"/>
    <mergeCell ref="B105:E105"/>
    <mergeCell ref="C96:E96"/>
    <mergeCell ref="C97:E97"/>
    <mergeCell ref="C98:E98"/>
    <mergeCell ref="C99:E99"/>
    <mergeCell ref="C100:E100"/>
    <mergeCell ref="C101:E101"/>
    <mergeCell ref="B92:E92"/>
    <mergeCell ref="C80:E80"/>
    <mergeCell ref="C81:E81"/>
    <mergeCell ref="B82:E82"/>
    <mergeCell ref="B84:F84"/>
    <mergeCell ref="C85:D85"/>
    <mergeCell ref="C86:D86"/>
    <mergeCell ref="C87:D87"/>
    <mergeCell ref="C88:D88"/>
    <mergeCell ref="C89:D89"/>
    <mergeCell ref="C90:D90"/>
    <mergeCell ref="C91:D91"/>
    <mergeCell ref="C79:E79"/>
    <mergeCell ref="C66:D66"/>
    <mergeCell ref="C67:D67"/>
    <mergeCell ref="C68:D68"/>
    <mergeCell ref="C69:D69"/>
    <mergeCell ref="B70:E70"/>
    <mergeCell ref="C72:E72"/>
    <mergeCell ref="C73:E73"/>
    <mergeCell ref="B74:E74"/>
    <mergeCell ref="C77:E77"/>
    <mergeCell ref="C78:E78"/>
    <mergeCell ref="C65:D65"/>
    <mergeCell ref="C50:E50"/>
    <mergeCell ref="C51:E51"/>
    <mergeCell ref="C52:E52"/>
    <mergeCell ref="B53:E53"/>
    <mergeCell ref="C55:D55"/>
    <mergeCell ref="C56:D56"/>
    <mergeCell ref="C57:D57"/>
    <mergeCell ref="C58:D58"/>
    <mergeCell ref="B59:E59"/>
    <mergeCell ref="C63:D63"/>
    <mergeCell ref="C64:D64"/>
    <mergeCell ref="C49:E49"/>
    <mergeCell ref="C37:D37"/>
    <mergeCell ref="C38:D38"/>
    <mergeCell ref="C39:D39"/>
    <mergeCell ref="C40:D40"/>
    <mergeCell ref="C41:D41"/>
    <mergeCell ref="C42:D42"/>
    <mergeCell ref="C43:D43"/>
    <mergeCell ref="C44:D44"/>
    <mergeCell ref="B45:E45"/>
    <mergeCell ref="C47:E47"/>
    <mergeCell ref="C48:E48"/>
    <mergeCell ref="C36:D36"/>
    <mergeCell ref="C24:E24"/>
    <mergeCell ref="C25:E25"/>
    <mergeCell ref="C26:E26"/>
    <mergeCell ref="C27:E27"/>
    <mergeCell ref="B28:E28"/>
    <mergeCell ref="C31:D31"/>
    <mergeCell ref="C32:D32"/>
    <mergeCell ref="C33:D33"/>
    <mergeCell ref="B34:E34"/>
    <mergeCell ref="B35:F35"/>
    <mergeCell ref="C23:E23"/>
    <mergeCell ref="C11:E11"/>
    <mergeCell ref="C12:E12"/>
    <mergeCell ref="C14:D14"/>
    <mergeCell ref="E14:F14"/>
    <mergeCell ref="D15:F15"/>
    <mergeCell ref="D16:F16"/>
    <mergeCell ref="C17:E17"/>
    <mergeCell ref="B18:F18"/>
    <mergeCell ref="B19:E19"/>
    <mergeCell ref="C21:E21"/>
    <mergeCell ref="C22:E22"/>
    <mergeCell ref="C10:E10"/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05"/>
  <sheetViews>
    <sheetView topLeftCell="A72" zoomScaleNormal="100" zoomScaleSheetLayoutView="100" workbookViewId="0">
      <selection activeCell="F73" sqref="F73"/>
    </sheetView>
  </sheetViews>
  <sheetFormatPr defaultColWidth="9.109375" defaultRowHeight="16.8" x14ac:dyDescent="0.4"/>
  <cols>
    <col min="1" max="1" width="2.6640625" style="13" customWidth="1"/>
    <col min="2" max="2" width="8.88671875" style="13" customWidth="1"/>
    <col min="3" max="3" width="52.5546875" style="19" customWidth="1"/>
    <col min="4" max="4" width="7.88671875" style="19" customWidth="1"/>
    <col min="5" max="5" width="13.5546875" style="19" customWidth="1"/>
    <col min="6" max="6" width="15.44140625" style="19" bestFit="1" customWidth="1"/>
    <col min="7" max="7" width="15.44140625" style="13" customWidth="1"/>
    <col min="8" max="8" width="65.33203125" style="13" customWidth="1"/>
    <col min="9" max="10" width="12.5546875" style="13" bestFit="1" customWidth="1"/>
    <col min="11" max="16384" width="9.109375" style="13"/>
  </cols>
  <sheetData>
    <row r="1" spans="2:6" ht="20.399999999999999" x14ac:dyDescent="0.45">
      <c r="B1" s="313" t="str">
        <f>RAMO</f>
        <v>RAMO: MINISTÉRIO PÚBLIC FEDERAL</v>
      </c>
      <c r="C1" s="314"/>
      <c r="D1" s="314"/>
      <c r="E1" s="314"/>
      <c r="F1" s="315"/>
    </row>
    <row r="2" spans="2:6" ht="20.399999999999999" x14ac:dyDescent="0.45">
      <c r="B2" s="316" t="str">
        <f>UG</f>
        <v>UNIDADE GESTORA (SIGLA): PR-PA</v>
      </c>
      <c r="C2" s="317"/>
      <c r="D2" s="318"/>
      <c r="E2" s="113" t="s">
        <v>57</v>
      </c>
      <c r="F2" s="114" t="str">
        <f>DATA_DO_ORCAMENTO_ESTIMATIVO</f>
        <v>XX/XX/20XX</v>
      </c>
    </row>
    <row r="3" spans="2:6" s="98" customFormat="1" ht="24.6" x14ac:dyDescent="0.55000000000000004">
      <c r="B3" s="281" t="s">
        <v>54</v>
      </c>
      <c r="C3" s="281"/>
      <c r="D3" s="281"/>
      <c r="E3" s="281"/>
      <c r="F3" s="281"/>
    </row>
    <row r="4" spans="2:6" s="98" customFormat="1" ht="15.9" customHeight="1" x14ac:dyDescent="0.4">
      <c r="B4" s="282" t="s">
        <v>97</v>
      </c>
      <c r="C4" s="282"/>
      <c r="D4" s="282"/>
      <c r="E4" s="282"/>
      <c r="F4" s="282"/>
    </row>
    <row r="5" spans="2:6" s="98" customFormat="1" ht="15.9" customHeight="1" x14ac:dyDescent="0.4">
      <c r="B5" s="285" t="s">
        <v>223</v>
      </c>
      <c r="C5" s="285"/>
      <c r="D5" s="319" t="str">
        <f>NUMERO_PROCESSO</f>
        <v>1.23.000.000855/2020-32</v>
      </c>
      <c r="E5" s="319"/>
      <c r="F5" s="319"/>
    </row>
    <row r="6" spans="2:6" s="98" customFormat="1" ht="15.75" customHeight="1" x14ac:dyDescent="0.4">
      <c r="B6" s="289" t="s">
        <v>224</v>
      </c>
      <c r="C6" s="289"/>
      <c r="D6" s="320" t="str">
        <f>MODALIDADE_DE_LICITACAO</f>
        <v>Pregão nº</v>
      </c>
      <c r="E6" s="320"/>
      <c r="F6" s="118" t="str">
        <f>NUMERO_PREGAO</f>
        <v>XX/20XX</v>
      </c>
    </row>
    <row r="7" spans="2:6" s="99" customFormat="1" ht="15.75" customHeight="1" x14ac:dyDescent="0.45">
      <c r="B7" s="321" t="s">
        <v>58</v>
      </c>
      <c r="C7" s="321"/>
      <c r="D7" s="321"/>
      <c r="E7" s="321"/>
      <c r="F7" s="321"/>
    </row>
    <row r="8" spans="2:6" s="98" customFormat="1" ht="18" customHeight="1" x14ac:dyDescent="0.4">
      <c r="B8" s="25" t="s">
        <v>2</v>
      </c>
      <c r="C8" s="285" t="s">
        <v>63</v>
      </c>
      <c r="D8" s="285"/>
      <c r="E8" s="285"/>
      <c r="F8" s="119" t="str">
        <f>DATA_APRESENTACAO_PROPOSTA</f>
        <v>XX/XX/20XX</v>
      </c>
    </row>
    <row r="9" spans="2:6" s="98" customFormat="1" ht="15.9" customHeight="1" x14ac:dyDescent="0.25">
      <c r="B9" s="1" t="s">
        <v>3</v>
      </c>
      <c r="C9" s="67" t="s">
        <v>36</v>
      </c>
      <c r="D9" s="311" t="s">
        <v>276</v>
      </c>
      <c r="E9" s="311"/>
      <c r="F9" s="311"/>
    </row>
    <row r="10" spans="2:6" s="98" customFormat="1" ht="18.75" customHeight="1" x14ac:dyDescent="0.4">
      <c r="B10" s="25" t="s">
        <v>4</v>
      </c>
      <c r="C10" s="285" t="s">
        <v>37</v>
      </c>
      <c r="D10" s="285"/>
      <c r="E10" s="285"/>
      <c r="F10" s="120" t="str">
        <f>ACORDO_COLETIVO</f>
        <v>CCT 2020/2021</v>
      </c>
    </row>
    <row r="11" spans="2:6" s="98" customFormat="1" ht="15.9" customHeight="1" x14ac:dyDescent="0.4">
      <c r="B11" s="1" t="s">
        <v>5</v>
      </c>
      <c r="C11" s="311" t="s">
        <v>64</v>
      </c>
      <c r="D11" s="311"/>
      <c r="E11" s="311"/>
      <c r="F11" s="121">
        <f>NUMERO_MESES_EXEC_CONTRATUAL</f>
        <v>12</v>
      </c>
    </row>
    <row r="12" spans="2:6" s="98" customFormat="1" x14ac:dyDescent="0.4">
      <c r="B12" s="1" t="s">
        <v>6</v>
      </c>
      <c r="C12" s="312" t="s">
        <v>85</v>
      </c>
      <c r="D12" s="312"/>
      <c r="E12" s="312"/>
      <c r="F12" s="102">
        <v>2</v>
      </c>
    </row>
    <row r="13" spans="2:6" s="98" customFormat="1" ht="7.5" customHeight="1" x14ac:dyDescent="0.4">
      <c r="B13" s="122"/>
      <c r="C13" s="123"/>
      <c r="D13" s="123"/>
      <c r="E13" s="123"/>
      <c r="F13" s="104"/>
    </row>
    <row r="14" spans="2:6" s="98" customFormat="1" ht="21" customHeight="1" x14ac:dyDescent="0.55000000000000004">
      <c r="B14" s="106" t="s">
        <v>205</v>
      </c>
      <c r="C14" s="13"/>
      <c r="D14" s="13"/>
      <c r="E14" s="13"/>
      <c r="F14" s="13"/>
    </row>
    <row r="15" spans="2:6" s="98" customFormat="1" x14ac:dyDescent="0.4">
      <c r="B15" s="25">
        <v>1</v>
      </c>
      <c r="C15" s="243" t="s">
        <v>60</v>
      </c>
      <c r="D15" s="243"/>
      <c r="E15" s="247" t="str">
        <f>TIPO_DE_SERVICO</f>
        <v>Vigilância</v>
      </c>
      <c r="F15" s="247"/>
    </row>
    <row r="16" spans="2:6" s="99" customFormat="1" x14ac:dyDescent="0.4">
      <c r="B16" s="25">
        <v>2</v>
      </c>
      <c r="C16" s="27" t="s">
        <v>59</v>
      </c>
      <c r="D16" s="246" t="str">
        <f>CBO</f>
        <v>5173-30</v>
      </c>
      <c r="E16" s="246"/>
      <c r="F16" s="246"/>
    </row>
    <row r="17" spans="2:6" s="98" customFormat="1" ht="15" customHeight="1" x14ac:dyDescent="0.4">
      <c r="B17" s="25">
        <v>3</v>
      </c>
      <c r="C17" s="56" t="s">
        <v>61</v>
      </c>
      <c r="D17" s="247" t="str">
        <f>CATEGORIA_PROFISSIONAL</f>
        <v>Vigilante</v>
      </c>
      <c r="E17" s="247"/>
      <c r="F17" s="247"/>
    </row>
    <row r="18" spans="2:6" s="98" customFormat="1" ht="15" customHeight="1" x14ac:dyDescent="0.4">
      <c r="B18" s="25">
        <v>4</v>
      </c>
      <c r="C18" s="248" t="s">
        <v>62</v>
      </c>
      <c r="D18" s="248"/>
      <c r="E18" s="248"/>
      <c r="F18" s="135">
        <f>DATA_BASE_CATEGORIA</f>
        <v>43831</v>
      </c>
    </row>
    <row r="19" spans="2:6" s="98" customFormat="1" ht="15" customHeight="1" x14ac:dyDescent="0.4">
      <c r="B19" s="28"/>
      <c r="C19" s="29"/>
      <c r="D19" s="29"/>
      <c r="E19" s="29"/>
      <c r="F19" s="105"/>
    </row>
    <row r="20" spans="2:6" s="124" customFormat="1" ht="27" customHeight="1" x14ac:dyDescent="0.4">
      <c r="B20" s="322" t="s">
        <v>40</v>
      </c>
      <c r="C20" s="322"/>
      <c r="D20" s="322"/>
      <c r="E20" s="322"/>
      <c r="F20" s="322"/>
    </row>
    <row r="21" spans="2:6" x14ac:dyDescent="0.4">
      <c r="B21" s="260" t="s">
        <v>52</v>
      </c>
      <c r="C21" s="260"/>
      <c r="D21" s="260"/>
      <c r="E21" s="260"/>
      <c r="F21" s="117">
        <v>2</v>
      </c>
    </row>
    <row r="22" spans="2:6" x14ac:dyDescent="0.4">
      <c r="B22" s="51" t="s">
        <v>8</v>
      </c>
      <c r="E22" s="14"/>
      <c r="F22" s="14"/>
    </row>
    <row r="23" spans="2:6" x14ac:dyDescent="0.4">
      <c r="B23" s="1">
        <v>1</v>
      </c>
      <c r="C23" s="244" t="s">
        <v>9</v>
      </c>
      <c r="D23" s="323"/>
      <c r="E23" s="245"/>
      <c r="F23" s="4" t="s">
        <v>13</v>
      </c>
    </row>
    <row r="24" spans="2:6" x14ac:dyDescent="0.4">
      <c r="B24" s="1" t="s">
        <v>2</v>
      </c>
      <c r="C24" s="275" t="s">
        <v>92</v>
      </c>
      <c r="D24" s="276"/>
      <c r="E24" s="277"/>
      <c r="F24" s="57">
        <f>SALARIO_BASE</f>
        <v>1401.07</v>
      </c>
    </row>
    <row r="25" spans="2:6" x14ac:dyDescent="0.4">
      <c r="B25" s="1" t="s">
        <v>3</v>
      </c>
      <c r="C25" s="251" t="s">
        <v>94</v>
      </c>
      <c r="D25" s="252"/>
      <c r="E25" s="253"/>
      <c r="F25" s="10">
        <f>PERC_ADIC_PERIC%*SALARIO_BASE</f>
        <v>420.32</v>
      </c>
    </row>
    <row r="26" spans="2:6" x14ac:dyDescent="0.4">
      <c r="B26" s="1" t="s">
        <v>4</v>
      </c>
      <c r="C26" s="305" t="str">
        <f>OUTROS_REMUNERACAO_1_DESCRICAO</f>
        <v>DSR - Adicional noturno - 1/6</v>
      </c>
      <c r="D26" s="306"/>
      <c r="E26" s="307"/>
      <c r="F26" s="57">
        <v>0</v>
      </c>
    </row>
    <row r="27" spans="2:6" x14ac:dyDescent="0.4">
      <c r="B27" s="1" t="s">
        <v>5</v>
      </c>
      <c r="C27" s="305" t="str">
        <f>OUTROS_REMUNERACAO_2_DESCRICAO</f>
        <v>DSR - Hora noturna reduzida - 1/6</v>
      </c>
      <c r="D27" s="306"/>
      <c r="E27" s="307"/>
      <c r="F27" s="10">
        <f>OUTROS_REMUNERACAO_2</f>
        <v>0</v>
      </c>
    </row>
    <row r="28" spans="2:6" x14ac:dyDescent="0.4">
      <c r="B28" s="268" t="s">
        <v>46</v>
      </c>
      <c r="C28" s="269"/>
      <c r="D28" s="269"/>
      <c r="E28" s="270"/>
      <c r="F28" s="40">
        <f>SUM(F24:F27)</f>
        <v>1821.39</v>
      </c>
    </row>
    <row r="29" spans="2:6" x14ac:dyDescent="0.4">
      <c r="B29" s="51" t="s">
        <v>65</v>
      </c>
      <c r="E29" s="21"/>
      <c r="F29" s="21"/>
    </row>
    <row r="30" spans="2:6" x14ac:dyDescent="0.4">
      <c r="B30" s="51" t="s">
        <v>110</v>
      </c>
      <c r="C30" s="12"/>
      <c r="D30" s="22"/>
      <c r="E30" s="20"/>
      <c r="F30" s="20"/>
    </row>
    <row r="31" spans="2:6" x14ac:dyDescent="0.4">
      <c r="B31" s="1" t="s">
        <v>66</v>
      </c>
      <c r="C31" s="268" t="s">
        <v>93</v>
      </c>
      <c r="D31" s="270"/>
      <c r="E31" s="4" t="s">
        <v>1</v>
      </c>
      <c r="F31" s="4" t="s">
        <v>13</v>
      </c>
    </row>
    <row r="32" spans="2:6" x14ac:dyDescent="0.4">
      <c r="B32" s="1" t="s">
        <v>2</v>
      </c>
      <c r="C32" s="275" t="s">
        <v>47</v>
      </c>
      <c r="D32" s="276"/>
      <c r="E32" s="59">
        <f>PERC_DEC_TERC</f>
        <v>8.33</v>
      </c>
      <c r="F32" s="58">
        <f>PERC_DEC_TERC%*MOD_1_REMUNERACAO_12X36_DIU</f>
        <v>151.72</v>
      </c>
    </row>
    <row r="33" spans="2:8" s="17" customFormat="1" x14ac:dyDescent="0.4">
      <c r="B33" s="2" t="s">
        <v>3</v>
      </c>
      <c r="C33" s="251" t="s">
        <v>95</v>
      </c>
      <c r="D33" s="253"/>
      <c r="E33" s="38">
        <f>PERC_ADIC_FERIAS</f>
        <v>2.78</v>
      </c>
      <c r="F33" s="36">
        <f>PERC_ADIC_FERIAS%*MOD_1_REMUNERACAO_12X36_DIU</f>
        <v>50.63</v>
      </c>
    </row>
    <row r="34" spans="2:8" s="107" customFormat="1" x14ac:dyDescent="0.4">
      <c r="B34" s="268" t="s">
        <v>46</v>
      </c>
      <c r="C34" s="269"/>
      <c r="D34" s="269"/>
      <c r="E34" s="270"/>
      <c r="F34" s="41">
        <f>SUM(F32:F33)</f>
        <v>202.35</v>
      </c>
    </row>
    <row r="35" spans="2:8" s="107" customFormat="1" ht="31.5" customHeight="1" x14ac:dyDescent="0.4">
      <c r="B35" s="308" t="s">
        <v>68</v>
      </c>
      <c r="C35" s="308"/>
      <c r="D35" s="308"/>
      <c r="E35" s="308"/>
      <c r="F35" s="308"/>
    </row>
    <row r="36" spans="2:8" s="107" customFormat="1" ht="34.5" customHeight="1" x14ac:dyDescent="0.4">
      <c r="B36" s="1" t="s">
        <v>69</v>
      </c>
      <c r="C36" s="309" t="s">
        <v>96</v>
      </c>
      <c r="D36" s="310"/>
      <c r="E36" s="4" t="s">
        <v>1</v>
      </c>
      <c r="F36" s="4" t="s">
        <v>13</v>
      </c>
    </row>
    <row r="37" spans="2:8" x14ac:dyDescent="0.4">
      <c r="B37" s="1" t="s">
        <v>2</v>
      </c>
      <c r="C37" s="275" t="s">
        <v>41</v>
      </c>
      <c r="D37" s="276"/>
      <c r="E37" s="59">
        <f>PERC_INSS</f>
        <v>20</v>
      </c>
      <c r="F37" s="58">
        <f>PERC_INSS%*(MOD_1_REMUNERACAO_12X36_DIU+SUBMOD_2_1_DEC_TERC_ADIC_FERIAS_12X36_DIU)</f>
        <v>404.75</v>
      </c>
    </row>
    <row r="38" spans="2:8" s="98" customFormat="1" x14ac:dyDescent="0.4">
      <c r="B38" s="2" t="s">
        <v>3</v>
      </c>
      <c r="C38" s="251" t="s">
        <v>43</v>
      </c>
      <c r="D38" s="253"/>
      <c r="E38" s="46">
        <f>PERC_SAL_EDUCACAO</f>
        <v>2.5</v>
      </c>
      <c r="F38" s="36">
        <f>PERC_SAL_EDUCACAO%*(MOD_1_REMUNERACAO_12X36_DIU+SUBMOD_2_1_DEC_TERC_ADIC_FERIAS_12X36_DIU)</f>
        <v>50.59</v>
      </c>
      <c r="G38" s="13"/>
      <c r="H38" s="13"/>
    </row>
    <row r="39" spans="2:8" s="98" customFormat="1" x14ac:dyDescent="0.4">
      <c r="B39" s="2" t="s">
        <v>4</v>
      </c>
      <c r="C39" s="275" t="s">
        <v>236</v>
      </c>
      <c r="D39" s="276"/>
      <c r="E39" s="59">
        <f>PERC_RAT</f>
        <v>6</v>
      </c>
      <c r="F39" s="58">
        <f>PERC_RAT%*(MOD_1_REMUNERACAO_12X36_DIU+SUBMOD_2_1_DEC_TERC_ADIC_FERIAS_12X36_DIU)</f>
        <v>121.42</v>
      </c>
      <c r="G39" s="13"/>
      <c r="H39" s="13"/>
    </row>
    <row r="40" spans="2:8" s="98" customFormat="1" x14ac:dyDescent="0.4">
      <c r="B40" s="2" t="s">
        <v>5</v>
      </c>
      <c r="C40" s="251" t="s">
        <v>88</v>
      </c>
      <c r="D40" s="253"/>
      <c r="E40" s="38">
        <f>PERC_SESC</f>
        <v>1.5</v>
      </c>
      <c r="F40" s="36">
        <f>PERC_SESC%*(MOD_1_REMUNERACAO_12X36_DIU+SUBMOD_2_1_DEC_TERC_ADIC_FERIAS_12X36_DIU)</f>
        <v>30.36</v>
      </c>
      <c r="G40" s="13"/>
      <c r="H40" s="13"/>
    </row>
    <row r="41" spans="2:8" s="98" customFormat="1" x14ac:dyDescent="0.4">
      <c r="B41" s="2" t="s">
        <v>6</v>
      </c>
      <c r="C41" s="275" t="s">
        <v>89</v>
      </c>
      <c r="D41" s="276"/>
      <c r="E41" s="59">
        <f>PERC_SENAC</f>
        <v>1</v>
      </c>
      <c r="F41" s="58">
        <f>PERC_SENAC%*(MOD_1_REMUNERACAO_12X36_DIU+SUBMOD_2_1_DEC_TERC_ADIC_FERIAS_12X36_DIU)</f>
        <v>20.239999999999998</v>
      </c>
      <c r="G41" s="13"/>
      <c r="H41" s="13"/>
    </row>
    <row r="42" spans="2:8" s="99" customFormat="1" x14ac:dyDescent="0.4">
      <c r="B42" s="2" t="s">
        <v>7</v>
      </c>
      <c r="C42" s="251" t="s">
        <v>45</v>
      </c>
      <c r="D42" s="253"/>
      <c r="E42" s="46">
        <f>PERC_SEBRAE</f>
        <v>0.6</v>
      </c>
      <c r="F42" s="36">
        <f>PERC_SEBRAE%*(MOD_1_REMUNERACAO_12X36_DIU+SUBMOD_2_1_DEC_TERC_ADIC_FERIAS_12X36_DIU)</f>
        <v>12.14</v>
      </c>
      <c r="G42" s="13"/>
      <c r="H42" s="13"/>
    </row>
    <row r="43" spans="2:8" s="99" customFormat="1" x14ac:dyDescent="0.4">
      <c r="B43" s="2" t="s">
        <v>10</v>
      </c>
      <c r="C43" s="275" t="s">
        <v>42</v>
      </c>
      <c r="D43" s="276"/>
      <c r="E43" s="59">
        <f>PERC_INCRA</f>
        <v>0.2</v>
      </c>
      <c r="F43" s="58">
        <f>PERC_INCRA%*(MOD_1_REMUNERACAO_12X36_DIU+SUBMOD_2_1_DEC_TERC_ADIC_FERIAS_12X36_DIU)</f>
        <v>4.05</v>
      </c>
      <c r="G43" s="13"/>
      <c r="H43" s="13"/>
    </row>
    <row r="44" spans="2:8" x14ac:dyDescent="0.4">
      <c r="B44" s="2" t="s">
        <v>11</v>
      </c>
      <c r="C44" s="251" t="s">
        <v>44</v>
      </c>
      <c r="D44" s="253"/>
      <c r="E44" s="46">
        <f>PERC_FGTS</f>
        <v>8</v>
      </c>
      <c r="F44" s="36">
        <f>PERC_FGTS%*(MOD_1_REMUNERACAO_12X36_DIU+SUBMOD_2_1_DEC_TERC_ADIC_FERIAS_12X36_DIU)</f>
        <v>161.9</v>
      </c>
    </row>
    <row r="45" spans="2:8" x14ac:dyDescent="0.4">
      <c r="B45" s="268" t="s">
        <v>46</v>
      </c>
      <c r="C45" s="269"/>
      <c r="D45" s="269"/>
      <c r="E45" s="270"/>
      <c r="F45" s="42">
        <f>SUM(F37:F44)</f>
        <v>805.45</v>
      </c>
    </row>
    <row r="46" spans="2:8" ht="15.75" customHeight="1" x14ac:dyDescent="0.4">
      <c r="B46" s="51" t="s">
        <v>71</v>
      </c>
      <c r="C46" s="99"/>
      <c r="D46" s="99"/>
      <c r="E46" s="99"/>
      <c r="F46" s="99"/>
    </row>
    <row r="47" spans="2:8" ht="15.75" customHeight="1" x14ac:dyDescent="0.4">
      <c r="B47" s="1" t="s">
        <v>90</v>
      </c>
      <c r="C47" s="268" t="s">
        <v>14</v>
      </c>
      <c r="D47" s="269"/>
      <c r="E47" s="270"/>
      <c r="F47" s="4" t="s">
        <v>13</v>
      </c>
    </row>
    <row r="48" spans="2:8" x14ac:dyDescent="0.4">
      <c r="B48" s="25" t="s">
        <v>2</v>
      </c>
      <c r="C48" s="275" t="s">
        <v>15</v>
      </c>
      <c r="D48" s="276"/>
      <c r="E48" s="277"/>
      <c r="F48" s="58">
        <f>IF((((3.6*2)*DIAS_TRABALHADOS_NO_MES_12X36)-(PERC_DESC_TRANSP_REMUNERACAO%*(AL_1_A_SAL_BASE_12X36_DIU/2)))&gt;0,(((3.6*2)*DIAS_TRABALHADOS_NO_MES_12X36)-(PERC_DESC_TRANSP_REMUNERACAO%*(AL_1_A_SAL_BASE_12X36_DIU/2))),0)</f>
        <v>65.97</v>
      </c>
      <c r="G48" s="145"/>
    </row>
    <row r="49" spans="2:7" s="107" customFormat="1" x14ac:dyDescent="0.4">
      <c r="B49" s="25" t="s">
        <v>3</v>
      </c>
      <c r="C49" s="251" t="s">
        <v>70</v>
      </c>
      <c r="D49" s="252"/>
      <c r="E49" s="253"/>
      <c r="F49" s="36">
        <f>ALIMENTACAO_POR_DIA*DIAS_TRABALHADOS_NO_MES_12X36*0.99</f>
        <v>386.1</v>
      </c>
      <c r="G49" s="13"/>
    </row>
    <row r="50" spans="2:7" s="107" customFormat="1" x14ac:dyDescent="0.4">
      <c r="B50" s="25" t="s">
        <v>4</v>
      </c>
      <c r="C50" s="275" t="str">
        <f>OUTROS_BENEFICIOS_1_DESCRICAO</f>
        <v>Auxílio saúde</v>
      </c>
      <c r="D50" s="276"/>
      <c r="E50" s="277"/>
      <c r="F50" s="58"/>
      <c r="G50" s="13"/>
    </row>
    <row r="51" spans="2:7" s="107" customFormat="1" x14ac:dyDescent="0.4">
      <c r="B51" s="25" t="s">
        <v>5</v>
      </c>
      <c r="C51" s="305" t="str">
        <f>OUTROS_BENEFICIOS_2_DESCRICAO</f>
        <v>Auxílio morte/funeral</v>
      </c>
      <c r="D51" s="306"/>
      <c r="E51" s="307"/>
      <c r="F51" s="36"/>
      <c r="G51" s="13"/>
    </row>
    <row r="52" spans="2:7" s="107" customFormat="1" x14ac:dyDescent="0.4">
      <c r="B52" s="25" t="s">
        <v>6</v>
      </c>
      <c r="C52" s="275" t="str">
        <f>OUTROS_BENEFICIOS_3_DESCRICAO</f>
        <v>Seguro de vida</v>
      </c>
      <c r="D52" s="276"/>
      <c r="E52" s="277"/>
      <c r="F52" s="58"/>
    </row>
    <row r="53" spans="2:7" s="107" customFormat="1" ht="15" customHeight="1" x14ac:dyDescent="0.4">
      <c r="B53" s="268" t="s">
        <v>46</v>
      </c>
      <c r="C53" s="269"/>
      <c r="D53" s="269"/>
      <c r="E53" s="270"/>
      <c r="F53" s="40">
        <f>SUM(F48:F52)</f>
        <v>452.07</v>
      </c>
    </row>
    <row r="54" spans="2:7" s="107" customFormat="1" x14ac:dyDescent="0.4">
      <c r="B54" s="51" t="s">
        <v>72</v>
      </c>
      <c r="C54" s="12"/>
      <c r="D54" s="22"/>
      <c r="E54" s="20"/>
      <c r="F54" s="20"/>
    </row>
    <row r="55" spans="2:7" s="107" customFormat="1" ht="15" customHeight="1" x14ac:dyDescent="0.4">
      <c r="B55" s="1">
        <v>3</v>
      </c>
      <c r="C55" s="260" t="s">
        <v>48</v>
      </c>
      <c r="D55" s="260"/>
      <c r="E55" s="4" t="s">
        <v>1</v>
      </c>
      <c r="F55" s="4" t="s">
        <v>13</v>
      </c>
    </row>
    <row r="56" spans="2:7" s="107" customFormat="1" x14ac:dyDescent="0.4">
      <c r="B56" s="1" t="s">
        <v>2</v>
      </c>
      <c r="C56" s="301" t="s">
        <v>49</v>
      </c>
      <c r="D56" s="301"/>
      <c r="E56" s="59">
        <f>PERC_AVISO_PREVIO_IND</f>
        <v>0.28999999999999998</v>
      </c>
      <c r="F56" s="58">
        <f>PERC_AVISO_PREVIO_IND%*(MOD_1_REMUNERACAO_12X36_DIU+SUBMOD_2_1_DEC_TERC_ADIC_FERIAS_12X36_DIU+AL_2_2_FGTS_12X36_DIU+SUBMOD_2_3_BENEFICIOS_12X36_DIU)</f>
        <v>7.65</v>
      </c>
    </row>
    <row r="57" spans="2:7" s="107" customFormat="1" x14ac:dyDescent="0.4">
      <c r="B57" s="2" t="s">
        <v>3</v>
      </c>
      <c r="C57" s="303" t="s">
        <v>50</v>
      </c>
      <c r="D57" s="303"/>
      <c r="E57" s="46">
        <f>PERC_AVISO_PREVIO_TRAB</f>
        <v>1.1599999999999999</v>
      </c>
      <c r="F57" s="36">
        <f>PERC_AVISO_PREVIO_TRAB%*(MOD_1_REMUNERACAO_12X36_DIU+SUBMOD_2_1_DEC_TERC_ADIC_FERIAS_12X36_DIU+SUBMOD_2_2_GPS_FGTS_12X36_DIU+SUBMOD_2_3_BENEFICIOS_12X36_DIU)</f>
        <v>38.06</v>
      </c>
    </row>
    <row r="58" spans="2:7" s="98" customFormat="1" x14ac:dyDescent="0.25">
      <c r="B58" s="2" t="s">
        <v>4</v>
      </c>
      <c r="C58" s="301" t="s">
        <v>232</v>
      </c>
      <c r="D58" s="301"/>
      <c r="E58" s="59">
        <f>PERC_MULTA_FGTS_AV_PREV_TRAB</f>
        <v>0.04</v>
      </c>
      <c r="F58" s="58">
        <f>PERC_MULTA_FGTS_AV_PREV_TRAB%*(MOD_1_REMUNERACAO_12X36_DIU+SUBMOD_2_1_DEC_TERC_ADIC_FERIAS_12X36_DIU)</f>
        <v>0.81</v>
      </c>
    </row>
    <row r="59" spans="2:7" s="98" customFormat="1" x14ac:dyDescent="0.4">
      <c r="B59" s="268" t="s">
        <v>46</v>
      </c>
      <c r="C59" s="269"/>
      <c r="D59" s="269"/>
      <c r="E59" s="270"/>
      <c r="F59" s="41">
        <f>SUM(F56:F58)</f>
        <v>46.52</v>
      </c>
    </row>
    <row r="60" spans="2:7" ht="7.5" customHeight="1" x14ac:dyDescent="0.4">
      <c r="B60" s="16"/>
      <c r="C60" s="17"/>
      <c r="D60" s="18"/>
      <c r="E60" s="14"/>
      <c r="F60" s="14"/>
    </row>
    <row r="61" spans="2:7" s="98" customFormat="1" ht="15.9" customHeight="1" x14ac:dyDescent="0.4">
      <c r="B61" s="51" t="s">
        <v>73</v>
      </c>
      <c r="C61" s="12"/>
      <c r="D61" s="22"/>
      <c r="E61" s="13"/>
      <c r="F61" s="13"/>
    </row>
    <row r="62" spans="2:7" s="98" customFormat="1" ht="15.9" customHeight="1" x14ac:dyDescent="0.4">
      <c r="B62" s="51" t="s">
        <v>102</v>
      </c>
      <c r="C62" s="12"/>
      <c r="D62" s="22"/>
      <c r="E62" s="20"/>
      <c r="F62" s="20"/>
    </row>
    <row r="63" spans="2:7" s="98" customFormat="1" x14ac:dyDescent="0.25">
      <c r="B63" s="1" t="s">
        <v>18</v>
      </c>
      <c r="C63" s="302" t="s">
        <v>103</v>
      </c>
      <c r="D63" s="302"/>
      <c r="E63" s="4" t="s">
        <v>1</v>
      </c>
      <c r="F63" s="4" t="s">
        <v>13</v>
      </c>
    </row>
    <row r="64" spans="2:7" s="98" customFormat="1" ht="15.9" customHeight="1" x14ac:dyDescent="0.25">
      <c r="B64" s="2" t="s">
        <v>2</v>
      </c>
      <c r="C64" s="298" t="s">
        <v>104</v>
      </c>
      <c r="D64" s="298"/>
      <c r="E64" s="59">
        <f>PERC_SUBSTITUTO_FERIAS</f>
        <v>8.33</v>
      </c>
      <c r="F64" s="58">
        <f>PERC_SUBSTITUTO_FERIAS%*(MOD_1_REMUNERACAO_12X36_DIU+MOD_2_ENCARGOS_BENEFICIOS_12X36_DIU+MOD_3_PROVISAO_RESCISAO_12X36_DIU)</f>
        <v>277.2</v>
      </c>
    </row>
    <row r="65" spans="2:7" s="98" customFormat="1" ht="15.9" customHeight="1" x14ac:dyDescent="0.25">
      <c r="B65" s="2" t="s">
        <v>3</v>
      </c>
      <c r="C65" s="300" t="s">
        <v>105</v>
      </c>
      <c r="D65" s="300"/>
      <c r="E65" s="46">
        <f>PERC_SUBSTITUTO_AUSENCIAS_LEGAIS</f>
        <v>2.2200000000000002</v>
      </c>
      <c r="F65" s="36">
        <f>PERC_SUBSTITUTO_AUSENCIAS_LEGAIS%*(MOD_1_REMUNERACAO_12X36_DIU+MOD_2_ENCARGOS_BENEFICIOS_12X36_DIU+MOD_3_PROVISAO_RESCISAO_12X36_DIU)</f>
        <v>73.88</v>
      </c>
    </row>
    <row r="66" spans="2:7" s="98" customFormat="1" ht="15.9" customHeight="1" x14ac:dyDescent="0.25">
      <c r="B66" s="2" t="s">
        <v>4</v>
      </c>
      <c r="C66" s="298" t="s">
        <v>106</v>
      </c>
      <c r="D66" s="298"/>
      <c r="E66" s="59">
        <f>PERC_SUBSTITUTO_LICENCA_PATERNIDADE</f>
        <v>7.0000000000000007E-2</v>
      </c>
      <c r="F66" s="58">
        <f>PERC_SUBSTITUTO_LICENCA_PATERNIDADE%*(MOD_1_REMUNERACAO_12X36_DIU+MOD_2_ENCARGOS_BENEFICIOS_12X36_DIU+MOD_3_PROVISAO_RESCISAO_12X36_DIU)</f>
        <v>2.33</v>
      </c>
    </row>
    <row r="67" spans="2:7" s="98" customFormat="1" x14ac:dyDescent="0.25">
      <c r="B67" s="2" t="s">
        <v>5</v>
      </c>
      <c r="C67" s="300" t="s">
        <v>107</v>
      </c>
      <c r="D67" s="300"/>
      <c r="E67" s="46">
        <f>PERC_SUBSTITUTO_ACID_TRAB</f>
        <v>0.02</v>
      </c>
      <c r="F67" s="36">
        <f>PERC_SUBSTITUTO_ACID_TRAB%*(MOD_1_REMUNERACAO_12X36_DIU+MOD_2_ENCARGOS_BENEFICIOS_12X36_DIU+MOD_3_PROVISAO_RESCISAO_12X36_DIU)</f>
        <v>0.67</v>
      </c>
    </row>
    <row r="68" spans="2:7" s="98" customFormat="1" x14ac:dyDescent="0.25">
      <c r="B68" s="2" t="s">
        <v>6</v>
      </c>
      <c r="C68" s="298" t="s">
        <v>108</v>
      </c>
      <c r="D68" s="298"/>
      <c r="E68" s="59">
        <f>PERC_SUBSTITUTO_AFAST_MATERN</f>
        <v>0.04</v>
      </c>
      <c r="F68" s="58">
        <f>PERC_SUBSTITUTO_AFAST_MATERN%*(MOD_1_REMUNERACAO_12X36_DIU+MOD_2_ENCARGOS_BENEFICIOS_12X36_DIU+MOD_3_PROVISAO_RESCISAO_12X36_DIU)</f>
        <v>1.33</v>
      </c>
    </row>
    <row r="69" spans="2:7" s="98" customFormat="1" x14ac:dyDescent="0.25">
      <c r="B69" s="2" t="s">
        <v>7</v>
      </c>
      <c r="C69" s="325" t="str">
        <f>OUTRAS_AUSENCIAS_DESCRICAO</f>
        <v>Outras Ausências (Especificar - em %)</v>
      </c>
      <c r="D69" s="300"/>
      <c r="E69" s="53">
        <f>PERC_SUBSTITUTO_OUTRAS_AUSENCIAS</f>
        <v>0</v>
      </c>
      <c r="F69" s="36">
        <f>PERC_SUBSTITUTO_OUTRAS_AUSENCIAS%*(MOD_1_REMUNERACAO_12X36_DIU+MOD_2_ENCARGOS_BENEFICIOS_12X36_DIU+MOD_3_PROVISAO_RESCISAO_12X36_DIU)</f>
        <v>0</v>
      </c>
    </row>
    <row r="70" spans="2:7" s="98" customFormat="1" x14ac:dyDescent="0.4">
      <c r="B70" s="268" t="s">
        <v>46</v>
      </c>
      <c r="C70" s="269"/>
      <c r="D70" s="269"/>
      <c r="E70" s="270"/>
      <c r="F70" s="41">
        <f>SUM(F64:F69)</f>
        <v>355.41</v>
      </c>
    </row>
    <row r="71" spans="2:7" s="98" customFormat="1" ht="15" customHeight="1" x14ac:dyDescent="0.4">
      <c r="B71" s="51" t="s">
        <v>226</v>
      </c>
      <c r="C71" s="12"/>
      <c r="D71" s="22"/>
      <c r="E71" s="20"/>
      <c r="F71" s="20"/>
    </row>
    <row r="72" spans="2:7" s="98" customFormat="1" x14ac:dyDescent="0.25">
      <c r="B72" s="1" t="s">
        <v>19</v>
      </c>
      <c r="C72" s="260" t="s">
        <v>225</v>
      </c>
      <c r="D72" s="260"/>
      <c r="E72" s="260"/>
      <c r="F72" s="4" t="s">
        <v>13</v>
      </c>
    </row>
    <row r="73" spans="2:7" s="98" customFormat="1" x14ac:dyDescent="0.25">
      <c r="B73" s="1" t="s">
        <v>2</v>
      </c>
      <c r="C73" s="298" t="s">
        <v>109</v>
      </c>
      <c r="D73" s="298"/>
      <c r="E73" s="298"/>
      <c r="F73" s="57">
        <f>((MOD_1_REMUNERACAO_12X36_DIU+MOD_2_ENCARGOS_BENEFICIOS_12X36_DIU+MOD_3_PROVISAO_RESCISAO_12X36_DIU)/DIVISOR_DE_HORAS)*((TEMPO_INTERVALO_REFEICAO/HORA_NORMAL))*DIAS_TRABALHADOS_NO_MES_12X36</f>
        <v>226.89</v>
      </c>
      <c r="G73" s="140"/>
    </row>
    <row r="74" spans="2:7" s="98" customFormat="1" x14ac:dyDescent="0.4">
      <c r="B74" s="260" t="s">
        <v>46</v>
      </c>
      <c r="C74" s="260"/>
      <c r="D74" s="260"/>
      <c r="E74" s="260"/>
      <c r="F74" s="41">
        <f>SUM(F73)</f>
        <v>226.89</v>
      </c>
    </row>
    <row r="75" spans="2:7" ht="7.5" customHeight="1" x14ac:dyDescent="0.4">
      <c r="B75" s="16"/>
      <c r="C75" s="17"/>
      <c r="D75" s="18"/>
      <c r="E75" s="14"/>
      <c r="F75" s="14"/>
    </row>
    <row r="76" spans="2:7" x14ac:dyDescent="0.4">
      <c r="B76" s="51" t="s">
        <v>77</v>
      </c>
      <c r="C76" s="12"/>
      <c r="D76" s="12"/>
      <c r="E76" s="20"/>
      <c r="F76" s="20"/>
    </row>
    <row r="77" spans="2:7" ht="15.75" customHeight="1" x14ac:dyDescent="0.4">
      <c r="B77" s="49">
        <v>5</v>
      </c>
      <c r="C77" s="271" t="s">
        <v>0</v>
      </c>
      <c r="D77" s="271"/>
      <c r="E77" s="271"/>
      <c r="F77" s="50" t="s">
        <v>13</v>
      </c>
    </row>
    <row r="78" spans="2:7" x14ac:dyDescent="0.4">
      <c r="B78" s="44" t="s">
        <v>2</v>
      </c>
      <c r="C78" s="272" t="s">
        <v>16</v>
      </c>
      <c r="D78" s="272"/>
      <c r="E78" s="272"/>
      <c r="F78" s="60">
        <f>UNIFORMES</f>
        <v>244.71</v>
      </c>
    </row>
    <row r="79" spans="2:7" x14ac:dyDescent="0.4">
      <c r="B79" s="44" t="s">
        <v>3</v>
      </c>
      <c r="C79" s="273" t="s">
        <v>285</v>
      </c>
      <c r="D79" s="273"/>
      <c r="E79" s="273"/>
      <c r="F79" s="47">
        <f>MATERIAIS</f>
        <v>77.400000000000006</v>
      </c>
    </row>
    <row r="80" spans="2:7" x14ac:dyDescent="0.4">
      <c r="B80" s="44" t="s">
        <v>4</v>
      </c>
      <c r="C80" s="272" t="s">
        <v>286</v>
      </c>
      <c r="D80" s="272"/>
      <c r="E80" s="272"/>
      <c r="F80" s="60">
        <f>EQUIPAMENTOS</f>
        <v>8.09</v>
      </c>
    </row>
    <row r="81" spans="2:8" x14ac:dyDescent="0.4">
      <c r="B81" s="44" t="s">
        <v>5</v>
      </c>
      <c r="C81" s="324" t="str">
        <f>OUTROS_INSUMOS_DESCRICAO</f>
        <v>Outros (Especificar)</v>
      </c>
      <c r="D81" s="273"/>
      <c r="E81" s="273"/>
      <c r="F81" s="47">
        <f>OUTROS_INSUMOS</f>
        <v>0</v>
      </c>
    </row>
    <row r="82" spans="2:8" x14ac:dyDescent="0.4">
      <c r="B82" s="328" t="s">
        <v>46</v>
      </c>
      <c r="C82" s="328"/>
      <c r="D82" s="328"/>
      <c r="E82" s="328"/>
      <c r="F82" s="43">
        <f>SUM(F78:F81)</f>
        <v>330.2</v>
      </c>
    </row>
    <row r="83" spans="2:8" ht="7.5" customHeight="1" x14ac:dyDescent="0.4">
      <c r="B83" s="16"/>
      <c r="C83" s="17"/>
      <c r="D83" s="18"/>
      <c r="E83" s="14"/>
      <c r="F83" s="14"/>
    </row>
    <row r="84" spans="2:8" ht="15" customHeight="1" x14ac:dyDescent="0.4">
      <c r="B84" s="264" t="s">
        <v>76</v>
      </c>
      <c r="C84" s="264"/>
      <c r="D84" s="264"/>
      <c r="E84" s="264"/>
      <c r="F84" s="264"/>
    </row>
    <row r="85" spans="2:8" x14ac:dyDescent="0.4">
      <c r="B85" s="1">
        <v>6</v>
      </c>
      <c r="C85" s="260" t="s">
        <v>20</v>
      </c>
      <c r="D85" s="260"/>
      <c r="E85" s="4" t="s">
        <v>1</v>
      </c>
      <c r="F85" s="4" t="s">
        <v>13</v>
      </c>
    </row>
    <row r="86" spans="2:8" x14ac:dyDescent="0.4">
      <c r="B86" s="1" t="s">
        <v>2</v>
      </c>
      <c r="C86" s="298" t="s">
        <v>78</v>
      </c>
      <c r="D86" s="298"/>
      <c r="E86" s="61">
        <f>PERC_CUSTOS_INDIRETOS</f>
        <v>4.8499999999999996</v>
      </c>
      <c r="F86" s="58">
        <f>PERC_CUSTOS_INDIRETOS%*(MOD_1_REMUNERACAO_12X36_DIU+MOD_2_ENCARGOS_BENEFICIOS_12X36_DIU+MOD_3_PROVISAO_RESCISAO_12X36_DIU+MOD_4_CUSTO_REPOSICAO_12X36_DIU+MOD_5_INSUMOS_12X36_DIU)</f>
        <v>205.65</v>
      </c>
    </row>
    <row r="87" spans="2:8" ht="15.75" customHeight="1" x14ac:dyDescent="0.4">
      <c r="B87" s="2" t="s">
        <v>3</v>
      </c>
      <c r="C87" s="300" t="s">
        <v>32</v>
      </c>
      <c r="D87" s="300"/>
      <c r="E87" s="48">
        <f>PERC_LUCRO</f>
        <v>5.45</v>
      </c>
      <c r="F87" s="36">
        <f>PERC_LUCRO%*(MOD_1_REMUNERACAO_12X36_DIU+MOD_2_ENCARGOS_BENEFICIOS_12X36_DIU+MOD_3_PROVISAO_RESCISAO_12X36_DIU+MOD_4_CUSTO_REPOSICAO_12X36_DIU+MOD_5_INSUMOS_12X36_DIU+AL_6_A_CUSTOS_INDIRETOS_12X36_DIU)</f>
        <v>242.3</v>
      </c>
    </row>
    <row r="88" spans="2:8" x14ac:dyDescent="0.4">
      <c r="B88" s="2" t="s">
        <v>4</v>
      </c>
      <c r="C88" s="298" t="s">
        <v>21</v>
      </c>
      <c r="D88" s="298"/>
      <c r="E88" s="61">
        <f>SUM(E89:E91)</f>
        <v>8.65</v>
      </c>
      <c r="F88" s="58">
        <f>SUM(F89:F91)</f>
        <v>443.93</v>
      </c>
    </row>
    <row r="89" spans="2:8" ht="15.75" customHeight="1" x14ac:dyDescent="0.4">
      <c r="B89" s="30" t="s">
        <v>79</v>
      </c>
      <c r="C89" s="326" t="s">
        <v>23</v>
      </c>
      <c r="D89" s="326"/>
      <c r="E89" s="31">
        <f>PERC_PIS</f>
        <v>0.65</v>
      </c>
      <c r="F89" s="63">
        <f>((MOD_1_REMUNERACAO_12X36_DIU+MOD_2_ENCARGOS_BENEFICIOS_12X36_DIU+MOD_3_PROVISAO_RESCISAO_12X36_DIU+MOD_4_CUSTO_REPOSICAO_12X36_DIU+MOD_5_INSUMOS_12X36_DIU+AL_6_A_CUSTOS_INDIRETOS_12X36_DIU+AL_6_B_LUCRO_12X36_DIU)*PERC_PIS%)/(1-PERC_TRIBUTOS%)</f>
        <v>33.36</v>
      </c>
    </row>
    <row r="90" spans="2:8" x14ac:dyDescent="0.4">
      <c r="B90" s="30" t="s">
        <v>80</v>
      </c>
      <c r="C90" s="327" t="s">
        <v>24</v>
      </c>
      <c r="D90" s="327"/>
      <c r="E90" s="62">
        <f>PERC_COFINS</f>
        <v>3</v>
      </c>
      <c r="F90" s="64">
        <f>((MOD_1_REMUNERACAO_12X36_DIU+MOD_2_ENCARGOS_BENEFICIOS_12X36_DIU+MOD_3_PROVISAO_RESCISAO_12X36_DIU+MOD_4_CUSTO_REPOSICAO_12X36_DIU+MOD_5_INSUMOS_12X36_DIU+AL_6_A_CUSTOS_INDIRETOS_12X36_DIU+AL_6_B_LUCRO_12X36_DIU)*PERC_COFINS%)/(1-PERC_TRIBUTOS%)</f>
        <v>153.96</v>
      </c>
    </row>
    <row r="91" spans="2:8" s="108" customFormat="1" x14ac:dyDescent="0.4">
      <c r="B91" s="30" t="s">
        <v>81</v>
      </c>
      <c r="C91" s="326" t="s">
        <v>25</v>
      </c>
      <c r="D91" s="326"/>
      <c r="E91" s="31">
        <f>PERC_ISS</f>
        <v>5</v>
      </c>
      <c r="F91" s="63">
        <f>((MOD_1_REMUNERACAO_12X36_DIU+MOD_2_ENCARGOS_BENEFICIOS_12X36_DIU+MOD_3_PROVISAO_RESCISAO_12X36_DIU+MOD_4_CUSTO_REPOSICAO_12X36_DIU+MOD_5_INSUMOS_12X36_DIU+AL_6_A_CUSTOS_INDIRETOS_12X36_DIU+AL_6_B_LUCRO_12X36_DIU)*PERC_ISS%)/(1-PERC_TRIBUTOS%)</f>
        <v>256.61</v>
      </c>
      <c r="H91" s="13"/>
    </row>
    <row r="92" spans="2:8" s="108" customFormat="1" x14ac:dyDescent="0.4">
      <c r="B92" s="268" t="s">
        <v>46</v>
      </c>
      <c r="C92" s="269"/>
      <c r="D92" s="269"/>
      <c r="E92" s="270"/>
      <c r="F92" s="37">
        <f>AL_6_A_CUSTOS_INDIRETOS_12X36_DIU+AL_6_B_LUCRO_12X36_DIU+AL_6_C_TRIBUTOS_12X36_DIU</f>
        <v>891.88</v>
      </c>
    </row>
    <row r="93" spans="2:8" s="108" customFormat="1" x14ac:dyDescent="0.4">
      <c r="B93" s="264" t="s">
        <v>261</v>
      </c>
      <c r="C93" s="264"/>
      <c r="D93" s="264"/>
      <c r="E93" s="264"/>
      <c r="F93" s="264"/>
    </row>
    <row r="94" spans="2:8" s="108" customFormat="1" x14ac:dyDescent="0.4">
      <c r="B94" s="147" t="s">
        <v>2</v>
      </c>
      <c r="C94" s="275" t="str">
        <f>'INSERÇÃO-DE-DADOS'!C85:E85</f>
        <v>Dia do Vigilante - Clausula 82ª CCT - Jornada 12x36 diurno</v>
      </c>
      <c r="D94" s="276"/>
      <c r="E94" s="277"/>
      <c r="F94" s="57">
        <f>'INSERÇÃO-DE-DADOS'!F85</f>
        <v>8.2799999999999994</v>
      </c>
    </row>
    <row r="95" spans="2:8" s="108" customFormat="1" ht="20.399999999999999" x14ac:dyDescent="0.4">
      <c r="B95" s="52" t="s">
        <v>53</v>
      </c>
      <c r="C95" s="15"/>
      <c r="D95" s="15"/>
      <c r="E95" s="15"/>
      <c r="F95" s="23"/>
    </row>
    <row r="96" spans="2:8" s="109" customFormat="1" ht="16.5" customHeight="1" x14ac:dyDescent="0.4">
      <c r="B96" s="2" t="s">
        <v>98</v>
      </c>
      <c r="C96" s="257" t="s">
        <v>99</v>
      </c>
      <c r="D96" s="258"/>
      <c r="E96" s="259"/>
      <c r="F96" s="4" t="s">
        <v>17</v>
      </c>
      <c r="H96" s="128"/>
    </row>
    <row r="97" spans="2:8" s="108" customFormat="1" x14ac:dyDescent="0.4">
      <c r="B97" s="1">
        <v>1</v>
      </c>
      <c r="C97" s="298" t="s">
        <v>9</v>
      </c>
      <c r="D97" s="298"/>
      <c r="E97" s="298"/>
      <c r="F97" s="58">
        <f>MOD_1_REMUNERACAO_12X36_DIU</f>
        <v>1821.39</v>
      </c>
    </row>
    <row r="98" spans="2:8" s="110" customFormat="1" ht="16.5" customHeight="1" x14ac:dyDescent="0.4">
      <c r="B98" s="2">
        <v>2</v>
      </c>
      <c r="C98" s="300" t="s">
        <v>100</v>
      </c>
      <c r="D98" s="300"/>
      <c r="E98" s="300"/>
      <c r="F98" s="36">
        <f>MOD_2_ENCARGOS_BENEFICIOS_12X36_DIU</f>
        <v>1459.87</v>
      </c>
    </row>
    <row r="99" spans="2:8" s="110" customFormat="1" x14ac:dyDescent="0.4">
      <c r="B99" s="2">
        <v>3</v>
      </c>
      <c r="C99" s="298" t="s">
        <v>48</v>
      </c>
      <c r="D99" s="298"/>
      <c r="E99" s="298"/>
      <c r="F99" s="58">
        <f>MOD_3_PROVISAO_RESCISAO_12X36_DIU</f>
        <v>46.52</v>
      </c>
    </row>
    <row r="100" spans="2:8" s="110" customFormat="1" x14ac:dyDescent="0.4">
      <c r="B100" s="2">
        <v>4</v>
      </c>
      <c r="C100" s="300" t="s">
        <v>51</v>
      </c>
      <c r="D100" s="300"/>
      <c r="E100" s="300"/>
      <c r="F100" s="36">
        <f>MOD_4_CUSTO_REPOSICAO_12X36_DIU</f>
        <v>582.29999999999995</v>
      </c>
    </row>
    <row r="101" spans="2:8" s="110" customFormat="1" x14ac:dyDescent="0.4">
      <c r="B101" s="2">
        <v>5</v>
      </c>
      <c r="C101" s="298" t="s">
        <v>0</v>
      </c>
      <c r="D101" s="298"/>
      <c r="E101" s="298"/>
      <c r="F101" s="58">
        <f>MOD_5_INSUMOS_12X36_DIU</f>
        <v>330.2</v>
      </c>
    </row>
    <row r="102" spans="2:8" s="110" customFormat="1" x14ac:dyDescent="0.4">
      <c r="B102" s="2">
        <v>6</v>
      </c>
      <c r="C102" s="300" t="s">
        <v>20</v>
      </c>
      <c r="D102" s="300"/>
      <c r="E102" s="300"/>
      <c r="F102" s="36">
        <f>MOD_6_CUSTOS_IND_LUCRO_TRIB_12X36_DIU</f>
        <v>891.88</v>
      </c>
    </row>
    <row r="103" spans="2:8" s="110" customFormat="1" x14ac:dyDescent="0.4">
      <c r="B103" s="2">
        <v>7</v>
      </c>
      <c r="C103" s="149" t="str">
        <f>C94</f>
        <v>Dia do Vigilante - Clausula 82ª CCT - Jornada 12x36 diurno</v>
      </c>
      <c r="D103" s="146"/>
      <c r="E103" s="146"/>
      <c r="F103" s="36">
        <f>F94</f>
        <v>8.2799999999999994</v>
      </c>
    </row>
    <row r="104" spans="2:8" ht="16.5" customHeight="1" x14ac:dyDescent="0.4">
      <c r="B104" s="302" t="s">
        <v>101</v>
      </c>
      <c r="C104" s="302"/>
      <c r="D104" s="302"/>
      <c r="E104" s="302"/>
      <c r="F104" s="37">
        <f>SUM(F97:F103)</f>
        <v>5140.4399999999996</v>
      </c>
      <c r="H104" s="129"/>
    </row>
    <row r="105" spans="2:8" ht="16.5" customHeight="1" x14ac:dyDescent="0.4">
      <c r="B105" s="302" t="s">
        <v>30</v>
      </c>
      <c r="C105" s="302"/>
      <c r="D105" s="302"/>
      <c r="E105" s="302"/>
      <c r="F105" s="37">
        <f>VALOR_TOTAL_EMPREGADO_12x36_DIU*EMPREG_POR_POSTO_12X36_DIU</f>
        <v>10280.879999999999</v>
      </c>
    </row>
  </sheetData>
  <mergeCells count="91">
    <mergeCell ref="B105:E105"/>
    <mergeCell ref="C90:D90"/>
    <mergeCell ref="C91:D91"/>
    <mergeCell ref="B92:E92"/>
    <mergeCell ref="C96:E96"/>
    <mergeCell ref="C97:E97"/>
    <mergeCell ref="C98:E98"/>
    <mergeCell ref="C99:E99"/>
    <mergeCell ref="C100:E100"/>
    <mergeCell ref="C101:E101"/>
    <mergeCell ref="C102:E102"/>
    <mergeCell ref="B104:E104"/>
    <mergeCell ref="B93:F93"/>
    <mergeCell ref="C94:E94"/>
    <mergeCell ref="C89:D89"/>
    <mergeCell ref="C77:E77"/>
    <mergeCell ref="C78:E78"/>
    <mergeCell ref="C79:E79"/>
    <mergeCell ref="C80:E80"/>
    <mergeCell ref="C81:E81"/>
    <mergeCell ref="B82:E82"/>
    <mergeCell ref="B84:F84"/>
    <mergeCell ref="C85:D85"/>
    <mergeCell ref="C86:D86"/>
    <mergeCell ref="C87:D87"/>
    <mergeCell ref="C88:D88"/>
    <mergeCell ref="B74:E74"/>
    <mergeCell ref="B59:E59"/>
    <mergeCell ref="C63:D63"/>
    <mergeCell ref="C64:D64"/>
    <mergeCell ref="C65:D65"/>
    <mergeCell ref="C66:D66"/>
    <mergeCell ref="C67:D67"/>
    <mergeCell ref="C68:D68"/>
    <mergeCell ref="C69:D69"/>
    <mergeCell ref="B70:E70"/>
    <mergeCell ref="C72:E72"/>
    <mergeCell ref="C73:E73"/>
    <mergeCell ref="C58:D58"/>
    <mergeCell ref="B45:E45"/>
    <mergeCell ref="C47:E47"/>
    <mergeCell ref="C48:E48"/>
    <mergeCell ref="C49:E49"/>
    <mergeCell ref="C50:E50"/>
    <mergeCell ref="C51:E51"/>
    <mergeCell ref="C52:E52"/>
    <mergeCell ref="B53:E53"/>
    <mergeCell ref="C55:D55"/>
    <mergeCell ref="C56:D56"/>
    <mergeCell ref="C57:D57"/>
    <mergeCell ref="C44:D44"/>
    <mergeCell ref="C33:D33"/>
    <mergeCell ref="B34:E34"/>
    <mergeCell ref="B35:F35"/>
    <mergeCell ref="C36:D36"/>
    <mergeCell ref="C37:D37"/>
    <mergeCell ref="C38:D38"/>
    <mergeCell ref="C39:D39"/>
    <mergeCell ref="C40:D40"/>
    <mergeCell ref="C41:D41"/>
    <mergeCell ref="C42:D42"/>
    <mergeCell ref="C43:D43"/>
    <mergeCell ref="C32:D32"/>
    <mergeCell ref="C18:E18"/>
    <mergeCell ref="B20:F20"/>
    <mergeCell ref="B21:E21"/>
    <mergeCell ref="C23:E23"/>
    <mergeCell ref="C24:E24"/>
    <mergeCell ref="C25:E25"/>
    <mergeCell ref="C26:E26"/>
    <mergeCell ref="C27:E27"/>
    <mergeCell ref="B28:E28"/>
    <mergeCell ref="C31:D31"/>
    <mergeCell ref="D17:F17"/>
    <mergeCell ref="B6:C6"/>
    <mergeCell ref="D6:E6"/>
    <mergeCell ref="B7:F7"/>
    <mergeCell ref="C8:E8"/>
    <mergeCell ref="D9:F9"/>
    <mergeCell ref="C10:E10"/>
    <mergeCell ref="C11:E11"/>
    <mergeCell ref="C12:E12"/>
    <mergeCell ref="C15:D15"/>
    <mergeCell ref="E15:F15"/>
    <mergeCell ref="D16:F16"/>
    <mergeCell ref="B1:F1"/>
    <mergeCell ref="B2:D2"/>
    <mergeCell ref="B3:F3"/>
    <mergeCell ref="B4:F4"/>
    <mergeCell ref="B5:C5"/>
    <mergeCell ref="D5:F5"/>
  </mergeCells>
  <printOptions horizontalCentered="1"/>
  <pageMargins left="0.15748031496062992" right="0.23622047244094491" top="0.24" bottom="0.15748031496062992" header="0.23622047244094491" footer="0.15748031496062992"/>
  <pageSetup paperSize="9" firstPageNumber="0" orientation="portrait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opLeftCell="A22" workbookViewId="0">
      <selection activeCell="F7" sqref="F7"/>
    </sheetView>
  </sheetViews>
  <sheetFormatPr defaultColWidth="9.109375" defaultRowHeight="16.8" x14ac:dyDescent="0.4"/>
  <cols>
    <col min="1" max="1" width="0.44140625" style="13" customWidth="1"/>
    <col min="2" max="2" width="8.88671875" style="13" customWidth="1"/>
    <col min="3" max="3" width="43.6640625" style="19" customWidth="1"/>
    <col min="4" max="4" width="7.88671875" style="19" customWidth="1"/>
    <col min="5" max="5" width="13.5546875" style="19" customWidth="1"/>
    <col min="6" max="6" width="15.44140625" style="19" bestFit="1" customWidth="1"/>
    <col min="7" max="16384" width="9.109375" style="13"/>
  </cols>
  <sheetData>
    <row r="1" spans="1:6" s="98" customFormat="1" ht="24.6" x14ac:dyDescent="0.55000000000000004">
      <c r="B1" s="106" t="s">
        <v>209</v>
      </c>
      <c r="C1" s="13"/>
      <c r="D1" s="13"/>
      <c r="E1" s="13"/>
      <c r="F1" s="13"/>
    </row>
    <row r="2" spans="1:6" x14ac:dyDescent="0.4">
      <c r="B2" s="51" t="s">
        <v>8</v>
      </c>
      <c r="E2" s="14"/>
      <c r="F2" s="14"/>
    </row>
    <row r="3" spans="1:6" ht="33.6" x14ac:dyDescent="0.4">
      <c r="B3" s="1">
        <v>1</v>
      </c>
      <c r="C3" s="250" t="s">
        <v>9</v>
      </c>
      <c r="D3" s="250"/>
      <c r="E3" s="250"/>
      <c r="F3" s="4" t="s">
        <v>227</v>
      </c>
    </row>
    <row r="4" spans="1:6" x14ac:dyDescent="0.4">
      <c r="B4" s="1" t="s">
        <v>2</v>
      </c>
      <c r="C4" s="251" t="s">
        <v>124</v>
      </c>
      <c r="D4" s="252"/>
      <c r="E4" s="253"/>
      <c r="F4" s="76">
        <v>220</v>
      </c>
    </row>
    <row r="5" spans="1:6" x14ac:dyDescent="0.4">
      <c r="B5" s="1" t="s">
        <v>3</v>
      </c>
      <c r="C5" s="249" t="s">
        <v>119</v>
      </c>
      <c r="D5" s="249"/>
      <c r="E5" s="249"/>
      <c r="F5" s="78">
        <v>7</v>
      </c>
    </row>
    <row r="6" spans="1:6" x14ac:dyDescent="0.4">
      <c r="B6" s="1" t="s">
        <v>4</v>
      </c>
      <c r="C6" s="251" t="s">
        <v>118</v>
      </c>
      <c r="D6" s="252"/>
      <c r="E6" s="253"/>
      <c r="F6" s="76">
        <v>365</v>
      </c>
    </row>
    <row r="7" spans="1:6" x14ac:dyDescent="0.4">
      <c r="B7" s="1" t="s">
        <v>5</v>
      </c>
      <c r="C7" s="249" t="s">
        <v>143</v>
      </c>
      <c r="D7" s="249"/>
      <c r="E7" s="249"/>
      <c r="F7" s="79">
        <v>15.2</v>
      </c>
    </row>
    <row r="8" spans="1:6" x14ac:dyDescent="0.4">
      <c r="B8" s="1" t="s">
        <v>6</v>
      </c>
      <c r="C8" s="251" t="s">
        <v>125</v>
      </c>
      <c r="D8" s="252"/>
      <c r="E8" s="253"/>
      <c r="F8" s="76">
        <v>12</v>
      </c>
    </row>
    <row r="9" spans="1:6" x14ac:dyDescent="0.4">
      <c r="B9" s="1" t="s">
        <v>7</v>
      </c>
      <c r="C9" s="249" t="s">
        <v>120</v>
      </c>
      <c r="D9" s="249"/>
      <c r="E9" s="249"/>
      <c r="F9" s="78">
        <v>60</v>
      </c>
    </row>
    <row r="10" spans="1:6" s="17" customFormat="1" x14ac:dyDescent="0.4">
      <c r="A10" s="13"/>
      <c r="B10" s="1" t="s">
        <v>10</v>
      </c>
      <c r="C10" s="251" t="s">
        <v>121</v>
      </c>
      <c r="D10" s="252"/>
      <c r="E10" s="253"/>
      <c r="F10" s="77">
        <v>52.5</v>
      </c>
    </row>
    <row r="11" spans="1:6" s="107" customFormat="1" x14ac:dyDescent="0.4"/>
    <row r="12" spans="1:6" s="107" customFormat="1" x14ac:dyDescent="0.4">
      <c r="A12" s="13"/>
      <c r="B12" s="51" t="s">
        <v>71</v>
      </c>
      <c r="C12" s="99"/>
      <c r="D12" s="99"/>
      <c r="E12" s="99"/>
      <c r="F12" s="99"/>
    </row>
    <row r="13" spans="1:6" s="107" customFormat="1" ht="15" customHeight="1" x14ac:dyDescent="0.4">
      <c r="A13" s="13"/>
      <c r="B13" s="1" t="s">
        <v>90</v>
      </c>
      <c r="C13" s="244" t="s">
        <v>14</v>
      </c>
      <c r="D13" s="245"/>
      <c r="E13" s="4" t="s">
        <v>38</v>
      </c>
      <c r="F13" s="4" t="s">
        <v>228</v>
      </c>
    </row>
    <row r="14" spans="1:6" s="107" customFormat="1" x14ac:dyDescent="0.4">
      <c r="B14" s="132" t="s">
        <v>2</v>
      </c>
      <c r="C14" s="243" t="s">
        <v>144</v>
      </c>
      <c r="D14" s="243"/>
      <c r="E14" s="133" t="s">
        <v>142</v>
      </c>
      <c r="F14" s="80">
        <v>6</v>
      </c>
    </row>
    <row r="15" spans="1:6" s="107" customFormat="1" x14ac:dyDescent="0.4">
      <c r="B15" s="132" t="s">
        <v>3</v>
      </c>
      <c r="C15" s="248" t="s">
        <v>145</v>
      </c>
      <c r="D15" s="248"/>
      <c r="E15" s="134" t="s">
        <v>142</v>
      </c>
      <c r="F15" s="81">
        <v>15</v>
      </c>
    </row>
    <row r="16" spans="1:6" s="107" customFormat="1" x14ac:dyDescent="0.4">
      <c r="B16" s="132" t="s">
        <v>4</v>
      </c>
      <c r="C16" s="243" t="s">
        <v>146</v>
      </c>
      <c r="D16" s="243"/>
      <c r="E16" s="133" t="s">
        <v>142</v>
      </c>
      <c r="F16" s="80">
        <v>22</v>
      </c>
    </row>
    <row r="17" spans="1:6" s="107" customFormat="1" x14ac:dyDescent="0.4"/>
    <row r="18" spans="1:6" s="98" customFormat="1" x14ac:dyDescent="0.4">
      <c r="A18" s="107"/>
      <c r="B18" s="51" t="s">
        <v>72</v>
      </c>
      <c r="C18" s="12"/>
      <c r="D18" s="22"/>
      <c r="E18" s="20"/>
      <c r="F18" s="20"/>
    </row>
    <row r="19" spans="1:6" s="98" customFormat="1" x14ac:dyDescent="0.4">
      <c r="A19" s="107"/>
      <c r="B19" s="1">
        <v>3</v>
      </c>
      <c r="C19" s="268" t="s">
        <v>48</v>
      </c>
      <c r="D19" s="269"/>
      <c r="E19" s="270"/>
      <c r="F19" s="4" t="s">
        <v>228</v>
      </c>
    </row>
    <row r="20" spans="1:6" s="98" customFormat="1" x14ac:dyDescent="0.4">
      <c r="A20" s="107"/>
      <c r="B20" s="1" t="s">
        <v>2</v>
      </c>
      <c r="C20" s="261" t="s">
        <v>211</v>
      </c>
      <c r="D20" s="262"/>
      <c r="E20" s="263"/>
      <c r="F20" s="58">
        <v>62.93</v>
      </c>
    </row>
    <row r="21" spans="1:6" x14ac:dyDescent="0.4">
      <c r="A21" s="107"/>
      <c r="B21" s="2" t="s">
        <v>3</v>
      </c>
      <c r="C21" s="295" t="s">
        <v>127</v>
      </c>
      <c r="D21" s="296"/>
      <c r="E21" s="297"/>
      <c r="F21" s="36">
        <v>5.55</v>
      </c>
    </row>
    <row r="22" spans="1:6" s="98" customFormat="1" ht="15.9" customHeight="1" x14ac:dyDescent="0.25">
      <c r="B22" s="2" t="s">
        <v>4</v>
      </c>
      <c r="C22" s="261" t="s">
        <v>128</v>
      </c>
      <c r="D22" s="262"/>
      <c r="E22" s="263"/>
      <c r="F22" s="80">
        <v>40</v>
      </c>
    </row>
    <row r="23" spans="1:6" ht="16.5" customHeight="1" x14ac:dyDescent="0.4">
      <c r="A23" s="107"/>
      <c r="B23" s="2" t="s">
        <v>5</v>
      </c>
      <c r="C23" s="295" t="s">
        <v>129</v>
      </c>
      <c r="D23" s="296"/>
      <c r="E23" s="297"/>
      <c r="F23" s="36">
        <v>94.45</v>
      </c>
    </row>
    <row r="24" spans="1:6" x14ac:dyDescent="0.4">
      <c r="A24" s="107"/>
      <c r="B24" s="2" t="s">
        <v>6</v>
      </c>
      <c r="C24" s="261" t="s">
        <v>140</v>
      </c>
      <c r="D24" s="262"/>
      <c r="E24" s="263"/>
      <c r="F24" s="80">
        <v>30</v>
      </c>
    </row>
    <row r="25" spans="1:6" s="107" customFormat="1" x14ac:dyDescent="0.4"/>
    <row r="26" spans="1:6" s="98" customFormat="1" x14ac:dyDescent="0.4">
      <c r="B26" s="51" t="s">
        <v>73</v>
      </c>
      <c r="C26" s="12"/>
      <c r="D26" s="22"/>
      <c r="E26" s="13"/>
      <c r="F26" s="13"/>
    </row>
    <row r="27" spans="1:6" s="98" customFormat="1" ht="15" customHeight="1" x14ac:dyDescent="0.4">
      <c r="B27" s="51" t="s">
        <v>102</v>
      </c>
      <c r="C27" s="12"/>
      <c r="D27" s="22"/>
      <c r="E27" s="20"/>
      <c r="F27" s="20"/>
    </row>
    <row r="28" spans="1:6" s="98" customFormat="1" x14ac:dyDescent="0.25">
      <c r="B28" s="1" t="s">
        <v>18</v>
      </c>
      <c r="C28" s="257" t="s">
        <v>103</v>
      </c>
      <c r="D28" s="258"/>
      <c r="E28" s="259"/>
      <c r="F28" s="4" t="s">
        <v>228</v>
      </c>
    </row>
    <row r="29" spans="1:6" s="98" customFormat="1" x14ac:dyDescent="0.25">
      <c r="B29" s="1" t="s">
        <v>2</v>
      </c>
      <c r="C29" s="261" t="s">
        <v>130</v>
      </c>
      <c r="D29" s="262"/>
      <c r="E29" s="263"/>
      <c r="F29" s="80">
        <v>8</v>
      </c>
    </row>
    <row r="30" spans="1:6" x14ac:dyDescent="0.4">
      <c r="A30" s="98"/>
      <c r="B30" s="2" t="s">
        <v>3</v>
      </c>
      <c r="C30" s="251" t="s">
        <v>131</v>
      </c>
      <c r="D30" s="252"/>
      <c r="E30" s="253"/>
      <c r="F30" s="81">
        <v>20</v>
      </c>
    </row>
    <row r="31" spans="1:6" x14ac:dyDescent="0.4">
      <c r="A31" s="98"/>
      <c r="B31" s="2" t="s">
        <v>4</v>
      </c>
      <c r="C31" s="261" t="s">
        <v>132</v>
      </c>
      <c r="D31" s="262"/>
      <c r="E31" s="263"/>
      <c r="F31" s="58">
        <v>1.42</v>
      </c>
    </row>
    <row r="32" spans="1:6" x14ac:dyDescent="0.4">
      <c r="A32" s="98"/>
      <c r="B32" s="2" t="s">
        <v>5</v>
      </c>
      <c r="C32" s="251" t="s">
        <v>133</v>
      </c>
      <c r="D32" s="252"/>
      <c r="E32" s="253"/>
      <c r="F32" s="36">
        <v>86.46</v>
      </c>
    </row>
    <row r="33" spans="1:6" s="98" customFormat="1" ht="15.9" customHeight="1" x14ac:dyDescent="0.4">
      <c r="A33" s="13"/>
      <c r="B33" s="2" t="s">
        <v>6</v>
      </c>
      <c r="C33" s="261" t="s">
        <v>135</v>
      </c>
      <c r="D33" s="262"/>
      <c r="E33" s="263"/>
      <c r="F33" s="58">
        <f>(154800/34808000)*100</f>
        <v>0.44</v>
      </c>
    </row>
    <row r="34" spans="1:6" ht="15.75" customHeight="1" x14ac:dyDescent="0.4">
      <c r="A34" s="98"/>
      <c r="B34" s="2" t="s">
        <v>7</v>
      </c>
      <c r="C34" s="251" t="s">
        <v>141</v>
      </c>
      <c r="D34" s="252"/>
      <c r="E34" s="253"/>
      <c r="F34" s="81">
        <v>15</v>
      </c>
    </row>
    <row r="35" spans="1:6" ht="15.75" customHeight="1" x14ac:dyDescent="0.4">
      <c r="A35" s="98"/>
      <c r="B35" s="2" t="s">
        <v>10</v>
      </c>
      <c r="C35" s="261" t="s">
        <v>136</v>
      </c>
      <c r="D35" s="262"/>
      <c r="E35" s="263"/>
      <c r="F35" s="80">
        <v>180</v>
      </c>
    </row>
    <row r="36" spans="1:6" x14ac:dyDescent="0.4">
      <c r="A36" s="98"/>
      <c r="B36" s="2" t="s">
        <v>11</v>
      </c>
      <c r="C36" s="251" t="s">
        <v>137</v>
      </c>
      <c r="D36" s="252"/>
      <c r="E36" s="253"/>
      <c r="F36" s="36">
        <v>13.54</v>
      </c>
    </row>
    <row r="37" spans="1:6" s="107" customFormat="1" ht="8.25" customHeight="1" x14ac:dyDescent="0.4"/>
    <row r="38" spans="1:6" x14ac:dyDescent="0.4">
      <c r="B38" s="51" t="s">
        <v>74</v>
      </c>
      <c r="C38" s="12"/>
      <c r="D38" s="22"/>
      <c r="E38" s="20"/>
      <c r="F38" s="20"/>
    </row>
    <row r="39" spans="1:6" x14ac:dyDescent="0.4">
      <c r="B39" s="1" t="s">
        <v>19</v>
      </c>
      <c r="C39" s="260" t="s">
        <v>75</v>
      </c>
      <c r="D39" s="260"/>
      <c r="E39" s="260"/>
      <c r="F39" s="4" t="s">
        <v>229</v>
      </c>
    </row>
    <row r="40" spans="1:6" x14ac:dyDescent="0.4">
      <c r="B40" s="1" t="s">
        <v>2</v>
      </c>
      <c r="C40" s="249" t="s">
        <v>126</v>
      </c>
      <c r="D40" s="249"/>
      <c r="E40" s="249"/>
      <c r="F40" s="142">
        <v>50</v>
      </c>
    </row>
    <row r="41" spans="1:6" ht="15" customHeight="1" x14ac:dyDescent="0.4">
      <c r="B41" s="1" t="s">
        <v>3</v>
      </c>
      <c r="C41" s="251" t="s">
        <v>134</v>
      </c>
      <c r="D41" s="252"/>
      <c r="E41" s="253"/>
      <c r="F41" s="76">
        <v>60</v>
      </c>
    </row>
    <row r="42" spans="1:6" ht="20.399999999999999" x14ac:dyDescent="0.4">
      <c r="B42" s="33" t="s">
        <v>202</v>
      </c>
      <c r="C42" s="34"/>
      <c r="D42" s="34"/>
      <c r="E42" s="34"/>
      <c r="F42" s="35"/>
    </row>
    <row r="43" spans="1:6" ht="33.75" customHeight="1" x14ac:dyDescent="0.4">
      <c r="B43" s="274" t="s">
        <v>222</v>
      </c>
      <c r="C43" s="274"/>
      <c r="D43" s="274"/>
      <c r="E43" s="274"/>
      <c r="F43" s="274"/>
    </row>
  </sheetData>
  <mergeCells count="31">
    <mergeCell ref="C4:E4"/>
    <mergeCell ref="C5:E5"/>
    <mergeCell ref="C6:E6"/>
    <mergeCell ref="C7:E7"/>
    <mergeCell ref="C3:E3"/>
    <mergeCell ref="C14:D14"/>
    <mergeCell ref="C15:D15"/>
    <mergeCell ref="C16:D16"/>
    <mergeCell ref="C13:D13"/>
    <mergeCell ref="C8:E8"/>
    <mergeCell ref="C9:E9"/>
    <mergeCell ref="C10:E10"/>
    <mergeCell ref="C31:E31"/>
    <mergeCell ref="C19:E19"/>
    <mergeCell ref="C20:E20"/>
    <mergeCell ref="C21:E21"/>
    <mergeCell ref="C22:E22"/>
    <mergeCell ref="C23:E23"/>
    <mergeCell ref="C24:E24"/>
    <mergeCell ref="C28:E28"/>
    <mergeCell ref="C29:E29"/>
    <mergeCell ref="C30:E30"/>
    <mergeCell ref="B43:F43"/>
    <mergeCell ref="C39:E39"/>
    <mergeCell ref="C40:E40"/>
    <mergeCell ref="C41:E41"/>
    <mergeCell ref="C32:E32"/>
    <mergeCell ref="C33:E33"/>
    <mergeCell ref="C34:E34"/>
    <mergeCell ref="C35:E35"/>
    <mergeCell ref="C36:E36"/>
  </mergeCells>
  <dataValidations count="2">
    <dataValidation errorStyle="information" allowBlank="1" showInputMessage="1" showErrorMessage="1" promptTitle="Intervalo Intrajornada" prompt="Segundo estudos da Audin-MPU, esse item não é usual nas planilhas do MPU. Verifique se realmente há necessidade de incluí-lo." sqref="F40"/>
    <dataValidation allowBlank="1" showInputMessage="1" showErrorMessage="1" promptTitle="Intervalo Intrajornada" prompt="Segundo estudos da Audin-MPU, esse item não é usual nas planilhas do MPU. Verifique se realmente há necessidade de incluí-lo." sqref="F41"/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5"/>
  <sheetViews>
    <sheetView topLeftCell="A23" zoomScaleNormal="100" zoomScaleSheetLayoutView="100" workbookViewId="0">
      <selection activeCell="F24" sqref="F24"/>
    </sheetView>
  </sheetViews>
  <sheetFormatPr defaultColWidth="9.109375" defaultRowHeight="16.8" x14ac:dyDescent="0.4"/>
  <cols>
    <col min="1" max="1" width="2.6640625" style="13" customWidth="1"/>
    <col min="2" max="2" width="8.88671875" style="13" customWidth="1"/>
    <col min="3" max="3" width="52.5546875" style="19" customWidth="1"/>
    <col min="4" max="4" width="7.88671875" style="19" customWidth="1"/>
    <col min="5" max="5" width="13.5546875" style="19" customWidth="1"/>
    <col min="6" max="6" width="15.44140625" style="19" bestFit="1" customWidth="1"/>
    <col min="7" max="7" width="9.6640625" style="13" bestFit="1" customWidth="1"/>
    <col min="8" max="16384" width="9.109375" style="13"/>
  </cols>
  <sheetData>
    <row r="1" spans="2:6" ht="20.399999999999999" x14ac:dyDescent="0.45">
      <c r="B1" s="313" t="str">
        <f>RAMO</f>
        <v>RAMO: MINISTÉRIO PÚBLIC FEDERAL</v>
      </c>
      <c r="C1" s="314"/>
      <c r="D1" s="314"/>
      <c r="E1" s="314"/>
      <c r="F1" s="315"/>
    </row>
    <row r="2" spans="2:6" ht="20.399999999999999" x14ac:dyDescent="0.45">
      <c r="B2" s="316" t="str">
        <f>UG</f>
        <v>UNIDADE GESTORA (SIGLA): PR-PA</v>
      </c>
      <c r="C2" s="317"/>
      <c r="D2" s="318"/>
      <c r="E2" s="113" t="s">
        <v>57</v>
      </c>
      <c r="F2" s="114" t="str">
        <f>DATA_DO_ORCAMENTO_ESTIMATIVO</f>
        <v>XX/XX/20XX</v>
      </c>
    </row>
    <row r="3" spans="2:6" s="98" customFormat="1" ht="24.6" x14ac:dyDescent="0.55000000000000004">
      <c r="B3" s="281" t="s">
        <v>55</v>
      </c>
      <c r="C3" s="281"/>
      <c r="D3" s="281"/>
      <c r="E3" s="281"/>
      <c r="F3" s="281"/>
    </row>
    <row r="4" spans="2:6" s="98" customFormat="1" ht="15.9" customHeight="1" x14ac:dyDescent="0.4">
      <c r="B4" s="282" t="s">
        <v>97</v>
      </c>
      <c r="C4" s="282"/>
      <c r="D4" s="282"/>
      <c r="E4" s="282"/>
      <c r="F4" s="282"/>
    </row>
    <row r="5" spans="2:6" s="98" customFormat="1" ht="15.9" customHeight="1" x14ac:dyDescent="0.4">
      <c r="B5" s="285" t="s">
        <v>223</v>
      </c>
      <c r="C5" s="285"/>
      <c r="D5" s="319" t="str">
        <f>NUMERO_PROCESSO</f>
        <v>1.23.000.000855/2020-32</v>
      </c>
      <c r="E5" s="319"/>
      <c r="F5" s="319"/>
    </row>
    <row r="6" spans="2:6" s="98" customFormat="1" ht="15.75" customHeight="1" x14ac:dyDescent="0.4">
      <c r="B6" s="289" t="s">
        <v>224</v>
      </c>
      <c r="C6" s="289"/>
      <c r="D6" s="320" t="str">
        <f>MODALIDADE_DE_LICITACAO</f>
        <v>Pregão nº</v>
      </c>
      <c r="E6" s="320"/>
      <c r="F6" s="118" t="str">
        <f>NUMERO_PREGAO</f>
        <v>XX/20XX</v>
      </c>
    </row>
    <row r="7" spans="2:6" s="99" customFormat="1" ht="15.75" customHeight="1" x14ac:dyDescent="0.45">
      <c r="B7" s="321" t="s">
        <v>58</v>
      </c>
      <c r="C7" s="321"/>
      <c r="D7" s="321"/>
      <c r="E7" s="321"/>
      <c r="F7" s="321"/>
    </row>
    <row r="8" spans="2:6" s="98" customFormat="1" ht="18" customHeight="1" x14ac:dyDescent="0.4">
      <c r="B8" s="25" t="s">
        <v>2</v>
      </c>
      <c r="C8" s="285" t="s">
        <v>63</v>
      </c>
      <c r="D8" s="285"/>
      <c r="E8" s="285"/>
      <c r="F8" s="119" t="str">
        <f>DATA_APRESENTACAO_PROPOSTA</f>
        <v>XX/XX/20XX</v>
      </c>
    </row>
    <row r="9" spans="2:6" s="98" customFormat="1" ht="15.9" customHeight="1" x14ac:dyDescent="0.25">
      <c r="B9" s="1" t="s">
        <v>3</v>
      </c>
      <c r="C9" s="67" t="s">
        <v>36</v>
      </c>
      <c r="D9" s="311" t="s">
        <v>277</v>
      </c>
      <c r="E9" s="311"/>
      <c r="F9" s="311"/>
    </row>
    <row r="10" spans="2:6" s="98" customFormat="1" ht="18.75" customHeight="1" x14ac:dyDescent="0.4">
      <c r="B10" s="25" t="s">
        <v>4</v>
      </c>
      <c r="C10" s="285" t="s">
        <v>37</v>
      </c>
      <c r="D10" s="285"/>
      <c r="E10" s="285"/>
      <c r="F10" s="120" t="str">
        <f>ACORDO_COLETIVO</f>
        <v>CCT 2020/2021</v>
      </c>
    </row>
    <row r="11" spans="2:6" s="98" customFormat="1" ht="15.9" customHeight="1" x14ac:dyDescent="0.4">
      <c r="B11" s="1" t="s">
        <v>5</v>
      </c>
      <c r="C11" s="311" t="s">
        <v>64</v>
      </c>
      <c r="D11" s="311"/>
      <c r="E11" s="311"/>
      <c r="F11" s="121">
        <f>NUMERO_MESES_EXEC_CONTRATUAL</f>
        <v>12</v>
      </c>
    </row>
    <row r="12" spans="2:6" s="98" customFormat="1" x14ac:dyDescent="0.4">
      <c r="B12" s="1" t="s">
        <v>6</v>
      </c>
      <c r="C12" s="312" t="s">
        <v>85</v>
      </c>
      <c r="D12" s="312"/>
      <c r="E12" s="312"/>
      <c r="F12" s="102">
        <v>2</v>
      </c>
    </row>
    <row r="13" spans="2:6" s="127" customFormat="1" ht="21" customHeight="1" x14ac:dyDescent="0.25">
      <c r="B13" s="125" t="s">
        <v>205</v>
      </c>
      <c r="C13" s="126"/>
      <c r="D13" s="126"/>
      <c r="E13" s="126"/>
      <c r="F13" s="126"/>
    </row>
    <row r="14" spans="2:6" s="98" customFormat="1" x14ac:dyDescent="0.4">
      <c r="B14" s="25">
        <v>1</v>
      </c>
      <c r="C14" s="243" t="s">
        <v>60</v>
      </c>
      <c r="D14" s="243"/>
      <c r="E14" s="247" t="str">
        <f>TIPO_DE_SERVICO</f>
        <v>Vigilância</v>
      </c>
      <c r="F14" s="247"/>
    </row>
    <row r="15" spans="2:6" s="99" customFormat="1" x14ac:dyDescent="0.4">
      <c r="B15" s="25">
        <v>2</v>
      </c>
      <c r="C15" s="27" t="s">
        <v>59</v>
      </c>
      <c r="D15" s="246" t="str">
        <f>CBO</f>
        <v>5173-30</v>
      </c>
      <c r="E15" s="246"/>
      <c r="F15" s="246"/>
    </row>
    <row r="16" spans="2:6" s="98" customFormat="1" ht="15" customHeight="1" x14ac:dyDescent="0.4">
      <c r="B16" s="25">
        <v>3</v>
      </c>
      <c r="C16" s="56" t="s">
        <v>61</v>
      </c>
      <c r="D16" s="247" t="str">
        <f>CATEGORIA_PROFISSIONAL</f>
        <v>Vigilante</v>
      </c>
      <c r="E16" s="247"/>
      <c r="F16" s="247"/>
    </row>
    <row r="17" spans="2:6" s="98" customFormat="1" ht="15" customHeight="1" x14ac:dyDescent="0.4">
      <c r="B17" s="25">
        <v>4</v>
      </c>
      <c r="C17" s="248" t="s">
        <v>62</v>
      </c>
      <c r="D17" s="248"/>
      <c r="E17" s="248"/>
      <c r="F17" s="135">
        <f>DATA_BASE_CATEGORIA</f>
        <v>43831</v>
      </c>
    </row>
    <row r="18" spans="2:6" s="124" customFormat="1" ht="30" customHeight="1" x14ac:dyDescent="0.4">
      <c r="B18" s="322" t="s">
        <v>40</v>
      </c>
      <c r="C18" s="322"/>
      <c r="D18" s="322"/>
      <c r="E18" s="322"/>
      <c r="F18" s="322"/>
    </row>
    <row r="19" spans="2:6" x14ac:dyDescent="0.4">
      <c r="B19" s="260" t="s">
        <v>52</v>
      </c>
      <c r="C19" s="260"/>
      <c r="D19" s="260"/>
      <c r="E19" s="260"/>
      <c r="F19" s="117">
        <v>2</v>
      </c>
    </row>
    <row r="20" spans="2:6" x14ac:dyDescent="0.4">
      <c r="B20" s="51" t="s">
        <v>8</v>
      </c>
      <c r="E20" s="14"/>
      <c r="F20" s="14"/>
    </row>
    <row r="21" spans="2:6" x14ac:dyDescent="0.4">
      <c r="B21" s="1">
        <v>1</v>
      </c>
      <c r="C21" s="250" t="s">
        <v>9</v>
      </c>
      <c r="D21" s="250"/>
      <c r="E21" s="250"/>
      <c r="F21" s="4" t="s">
        <v>13</v>
      </c>
    </row>
    <row r="22" spans="2:6" x14ac:dyDescent="0.4">
      <c r="B22" s="1" t="s">
        <v>2</v>
      </c>
      <c r="C22" s="249" t="s">
        <v>92</v>
      </c>
      <c r="D22" s="249"/>
      <c r="E22" s="249"/>
      <c r="F22" s="57">
        <f>SALARIO_BASE</f>
        <v>1401.07</v>
      </c>
    </row>
    <row r="23" spans="2:6" x14ac:dyDescent="0.4">
      <c r="B23" s="1" t="s">
        <v>3</v>
      </c>
      <c r="C23" s="300" t="s">
        <v>94</v>
      </c>
      <c r="D23" s="300"/>
      <c r="E23" s="300"/>
      <c r="F23" s="10">
        <f>PERC_ADIC_PERIC%*SALARIO_BASE</f>
        <v>420.32</v>
      </c>
    </row>
    <row r="24" spans="2:6" ht="15.75" customHeight="1" x14ac:dyDescent="0.4">
      <c r="B24" s="1" t="s">
        <v>4</v>
      </c>
      <c r="C24" s="331" t="s">
        <v>83</v>
      </c>
      <c r="D24" s="331"/>
      <c r="E24" s="331"/>
      <c r="F24" s="57">
        <f>7*15.2*0.2*((AL_1_A_SAL_BASE_12X36_NOT+AL_1_B_ADIC_PERIC_12X36_NOT)/220)</f>
        <v>176.18</v>
      </c>
    </row>
    <row r="25" spans="2:6" ht="15.75" customHeight="1" x14ac:dyDescent="0.4">
      <c r="B25" s="1" t="s">
        <v>5</v>
      </c>
      <c r="C25" s="300" t="s">
        <v>87</v>
      </c>
      <c r="D25" s="300"/>
      <c r="E25" s="300"/>
      <c r="F25" s="237">
        <f>((AL_1_A_SAL_BASE_12X36_NOT+AL_1_B_ADIC_PERIC_12X36_NOT)/DIVISOR_DE_HORAS)*((HORA_NORMAL-HORA_NOTURNA)/HORA_NOTURNA)*DIAS_NA_SEMANA*MEDIA_ANUAL_DIAS_TRABALHO_MES*1.2*1.5</f>
        <v>226.51</v>
      </c>
    </row>
    <row r="26" spans="2:6" x14ac:dyDescent="0.4">
      <c r="B26" s="1" t="s">
        <v>6</v>
      </c>
      <c r="C26" s="275" t="str">
        <f>OUTROS_REMUNERACAO_1_DESCRICAO</f>
        <v>DSR - Adicional noturno - 1/6</v>
      </c>
      <c r="D26" s="276"/>
      <c r="E26" s="277"/>
      <c r="F26" s="57">
        <f>1/6*AL_1_C_ADIC_NOT_12X36_NOT</f>
        <v>29.36</v>
      </c>
    </row>
    <row r="27" spans="2:6" x14ac:dyDescent="0.4">
      <c r="B27" s="1" t="s">
        <v>7</v>
      </c>
      <c r="C27" s="305" t="str">
        <f>OUTROS_REMUNERACAO_2_DESCRICAO</f>
        <v>DSR - Hora noturna reduzida - 1/6</v>
      </c>
      <c r="D27" s="306"/>
      <c r="E27" s="307"/>
      <c r="F27" s="10">
        <f>1/6*AL_1_D_ADIC_NOT_RED_12X36_NOT</f>
        <v>37.75</v>
      </c>
    </row>
    <row r="28" spans="2:6" x14ac:dyDescent="0.4">
      <c r="B28" s="329" t="s">
        <v>46</v>
      </c>
      <c r="C28" s="329"/>
      <c r="D28" s="329"/>
      <c r="E28" s="329"/>
      <c r="F28" s="40">
        <f>SUM(F22:F27)</f>
        <v>2291.19</v>
      </c>
    </row>
    <row r="29" spans="2:6" x14ac:dyDescent="0.4">
      <c r="B29" s="51" t="s">
        <v>65</v>
      </c>
      <c r="E29" s="21"/>
      <c r="F29" s="21"/>
    </row>
    <row r="30" spans="2:6" x14ac:dyDescent="0.4">
      <c r="B30" s="51" t="s">
        <v>110</v>
      </c>
      <c r="C30" s="12"/>
      <c r="D30" s="22"/>
      <c r="E30" s="20"/>
      <c r="F30" s="20"/>
    </row>
    <row r="31" spans="2:6" x14ac:dyDescent="0.4">
      <c r="B31" s="1" t="s">
        <v>66</v>
      </c>
      <c r="C31" s="260" t="s">
        <v>93</v>
      </c>
      <c r="D31" s="260"/>
      <c r="E31" s="4" t="s">
        <v>1</v>
      </c>
      <c r="F31" s="4" t="s">
        <v>13</v>
      </c>
    </row>
    <row r="32" spans="2:6" x14ac:dyDescent="0.4">
      <c r="B32" s="1" t="s">
        <v>2</v>
      </c>
      <c r="C32" s="298" t="s">
        <v>47</v>
      </c>
      <c r="D32" s="298"/>
      <c r="E32" s="59">
        <f>PERC_DEC_TERC</f>
        <v>8.33</v>
      </c>
      <c r="F32" s="58">
        <f>PERC_DEC_TERC%*MOD_1_REMUNERACAO_12X36_NOT</f>
        <v>190.86</v>
      </c>
    </row>
    <row r="33" spans="2:9" s="17" customFormat="1" x14ac:dyDescent="0.4">
      <c r="B33" s="2" t="s">
        <v>3</v>
      </c>
      <c r="C33" s="300" t="s">
        <v>95</v>
      </c>
      <c r="D33" s="300"/>
      <c r="E33" s="38">
        <f>PERC_ADIC_FERIAS</f>
        <v>2.78</v>
      </c>
      <c r="F33" s="36">
        <f>PERC_ADIC_FERIAS%*MOD_1_REMUNERACAO_12X36_NOT</f>
        <v>63.7</v>
      </c>
    </row>
    <row r="34" spans="2:9" s="107" customFormat="1" x14ac:dyDescent="0.4">
      <c r="B34" s="268" t="s">
        <v>46</v>
      </c>
      <c r="C34" s="269"/>
      <c r="D34" s="269"/>
      <c r="E34" s="270"/>
      <c r="F34" s="41">
        <f>SUM(F32:F33)</f>
        <v>254.56</v>
      </c>
    </row>
    <row r="35" spans="2:9" s="107" customFormat="1" ht="31.5" customHeight="1" x14ac:dyDescent="0.4">
      <c r="B35" s="330" t="s">
        <v>68</v>
      </c>
      <c r="C35" s="330"/>
      <c r="D35" s="330"/>
      <c r="E35" s="330"/>
      <c r="F35" s="330"/>
    </row>
    <row r="36" spans="2:9" s="107" customFormat="1" ht="34.5" customHeight="1" x14ac:dyDescent="0.4">
      <c r="B36" s="1" t="s">
        <v>69</v>
      </c>
      <c r="C36" s="304" t="s">
        <v>96</v>
      </c>
      <c r="D36" s="304"/>
      <c r="E36" s="4" t="s">
        <v>1</v>
      </c>
      <c r="F36" s="4" t="s">
        <v>13</v>
      </c>
    </row>
    <row r="37" spans="2:9" x14ac:dyDescent="0.4">
      <c r="B37" s="1" t="s">
        <v>2</v>
      </c>
      <c r="C37" s="298" t="s">
        <v>41</v>
      </c>
      <c r="D37" s="298"/>
      <c r="E37" s="59">
        <f>PERC_INSS</f>
        <v>20</v>
      </c>
      <c r="F37" s="58">
        <f>PERC_INSS%*(MOD_1_REMUNERACAO_12X36_NOT+SUBMOD_2_1_DEC_TERC_ADIC_FERIAS_12X36_NOT)</f>
        <v>509.15</v>
      </c>
    </row>
    <row r="38" spans="2:9" s="98" customFormat="1" x14ac:dyDescent="0.25">
      <c r="B38" s="2" t="s">
        <v>3</v>
      </c>
      <c r="C38" s="300" t="s">
        <v>43</v>
      </c>
      <c r="D38" s="300"/>
      <c r="E38" s="46">
        <f>PERC_SAL_EDUCACAO</f>
        <v>2.5</v>
      </c>
      <c r="F38" s="36">
        <f>PERC_SAL_EDUCACAO%*(MOD_1_REMUNERACAO_12X36_NOT+SUBMOD_2_1_DEC_TERC_ADIC_FERIAS_12X36_NOT)</f>
        <v>63.64</v>
      </c>
    </row>
    <row r="39" spans="2:9" s="98" customFormat="1" x14ac:dyDescent="0.25">
      <c r="B39" s="2" t="s">
        <v>4</v>
      </c>
      <c r="C39" s="275" t="s">
        <v>236</v>
      </c>
      <c r="D39" s="276"/>
      <c r="E39" s="59">
        <f>PERC_RAT</f>
        <v>6</v>
      </c>
      <c r="F39" s="58">
        <f>PERC_RAT%*(MOD_1_REMUNERACAO_12X36_NOT+SUBMOD_2_1_DEC_TERC_ADIC_FERIAS_12X36_NOT)</f>
        <v>152.75</v>
      </c>
    </row>
    <row r="40" spans="2:9" s="98" customFormat="1" x14ac:dyDescent="0.25">
      <c r="B40" s="2" t="s">
        <v>5</v>
      </c>
      <c r="C40" s="300" t="s">
        <v>88</v>
      </c>
      <c r="D40" s="300"/>
      <c r="E40" s="38">
        <f>PERC_SESC</f>
        <v>1.5</v>
      </c>
      <c r="F40" s="36">
        <f>PERC_SESC%*(MOD_1_REMUNERACAO_12X36_NOT+SUBMOD_2_1_DEC_TERC_ADIC_FERIAS_12X36_NOT)</f>
        <v>38.19</v>
      </c>
      <c r="I40" s="143"/>
    </row>
    <row r="41" spans="2:9" s="98" customFormat="1" x14ac:dyDescent="0.25">
      <c r="B41" s="2" t="s">
        <v>6</v>
      </c>
      <c r="C41" s="298" t="s">
        <v>89</v>
      </c>
      <c r="D41" s="298"/>
      <c r="E41" s="59">
        <f>PERC_SENAC</f>
        <v>1</v>
      </c>
      <c r="F41" s="58">
        <f>PERC_SENAC%*(MOD_1_REMUNERACAO_12X36_NOT+SUBMOD_2_1_DEC_TERC_ADIC_FERIAS_12X36_NOT)</f>
        <v>25.46</v>
      </c>
    </row>
    <row r="42" spans="2:9" s="99" customFormat="1" x14ac:dyDescent="0.25">
      <c r="B42" s="2" t="s">
        <v>7</v>
      </c>
      <c r="C42" s="300" t="s">
        <v>45</v>
      </c>
      <c r="D42" s="300"/>
      <c r="E42" s="46">
        <f>PERC_SEBRAE</f>
        <v>0.6</v>
      </c>
      <c r="F42" s="36">
        <f>PERC_SEBRAE%*(MOD_1_REMUNERACAO_12X36_NOT+SUBMOD_2_1_DEC_TERC_ADIC_FERIAS_12X36_NOT)</f>
        <v>15.27</v>
      </c>
    </row>
    <row r="43" spans="2:9" s="99" customFormat="1" x14ac:dyDescent="0.25">
      <c r="B43" s="2" t="s">
        <v>10</v>
      </c>
      <c r="C43" s="298" t="s">
        <v>42</v>
      </c>
      <c r="D43" s="298"/>
      <c r="E43" s="59">
        <f>PERC_INCRA</f>
        <v>0.2</v>
      </c>
      <c r="F43" s="58">
        <f>PERC_INCRA%*(MOD_1_REMUNERACAO_12X36_NOT+SUBMOD_2_1_DEC_TERC_ADIC_FERIAS_12X36_NOT)</f>
        <v>5.09</v>
      </c>
    </row>
    <row r="44" spans="2:9" x14ac:dyDescent="0.4">
      <c r="B44" s="2" t="s">
        <v>11</v>
      </c>
      <c r="C44" s="300" t="s">
        <v>44</v>
      </c>
      <c r="D44" s="300"/>
      <c r="E44" s="46">
        <f>PERC_FGTS</f>
        <v>8</v>
      </c>
      <c r="F44" s="36">
        <f>PERC_FGTS%*(MOD_1_REMUNERACAO_12X36_NOT+SUBMOD_2_1_DEC_TERC_ADIC_FERIAS_12X36_NOT)</f>
        <v>203.66</v>
      </c>
    </row>
    <row r="45" spans="2:9" x14ac:dyDescent="0.4">
      <c r="B45" s="268" t="s">
        <v>46</v>
      </c>
      <c r="C45" s="269"/>
      <c r="D45" s="269"/>
      <c r="E45" s="270"/>
      <c r="F45" s="42">
        <f>SUM(F37:F44)</f>
        <v>1013.21</v>
      </c>
    </row>
    <row r="46" spans="2:9" ht="15.75" customHeight="1" x14ac:dyDescent="0.4">
      <c r="B46" s="51" t="s">
        <v>71</v>
      </c>
      <c r="C46" s="99"/>
      <c r="D46" s="99"/>
      <c r="E46" s="99"/>
      <c r="F46" s="99"/>
    </row>
    <row r="47" spans="2:9" ht="15.75" customHeight="1" x14ac:dyDescent="0.4">
      <c r="B47" s="1" t="s">
        <v>90</v>
      </c>
      <c r="C47" s="250" t="s">
        <v>14</v>
      </c>
      <c r="D47" s="250"/>
      <c r="E47" s="250"/>
      <c r="F47" s="4" t="s">
        <v>13</v>
      </c>
    </row>
    <row r="48" spans="2:9" x14ac:dyDescent="0.4">
      <c r="B48" s="25" t="s">
        <v>2</v>
      </c>
      <c r="C48" s="298" t="s">
        <v>15</v>
      </c>
      <c r="D48" s="298"/>
      <c r="E48" s="298"/>
      <c r="F48" s="58">
        <f>IF((((3.6*2)*DIAS_TRABALHADOS_NO_MES_12X36)-(PERC_DESC_TRANSP_REMUNERACAO%*(AL_1_A_SAL_BASE_12X36_NOT/2)))&gt;0,(((3.6*2)*DIAS_TRABALHADOS_NO_MES_12X36)-(PERC_DESC_TRANSP_REMUNERACAO%*(AL_1_A_SAL_BASE_12X36_NOT/2))),0)</f>
        <v>65.97</v>
      </c>
      <c r="G48" s="145"/>
    </row>
    <row r="49" spans="2:7" s="107" customFormat="1" x14ac:dyDescent="0.4">
      <c r="B49" s="25" t="s">
        <v>3</v>
      </c>
      <c r="C49" s="300" t="s">
        <v>70</v>
      </c>
      <c r="D49" s="300"/>
      <c r="E49" s="300"/>
      <c r="F49" s="36">
        <f>ALIMENTACAO_POR_DIA*DIAS_TRABALHADOS_NO_MES_12X36*0.99</f>
        <v>386.1</v>
      </c>
      <c r="G49" s="13"/>
    </row>
    <row r="50" spans="2:7" s="107" customFormat="1" x14ac:dyDescent="0.4">
      <c r="B50" s="25" t="s">
        <v>4</v>
      </c>
      <c r="C50" s="275" t="str">
        <f>OUTROS_BENEFICIOS_1_DESCRICAO</f>
        <v>Auxílio saúde</v>
      </c>
      <c r="D50" s="276"/>
      <c r="E50" s="277"/>
      <c r="F50" s="58"/>
      <c r="G50" s="13"/>
    </row>
    <row r="51" spans="2:7" s="107" customFormat="1" x14ac:dyDescent="0.4">
      <c r="B51" s="25" t="s">
        <v>5</v>
      </c>
      <c r="C51" s="305" t="str">
        <f>OUTROS_BENEFICIOS_2_DESCRICAO</f>
        <v>Auxílio morte/funeral</v>
      </c>
      <c r="D51" s="306"/>
      <c r="E51" s="307"/>
      <c r="F51" s="36"/>
      <c r="G51" s="13"/>
    </row>
    <row r="52" spans="2:7" s="107" customFormat="1" x14ac:dyDescent="0.4">
      <c r="B52" s="25" t="s">
        <v>6</v>
      </c>
      <c r="C52" s="275" t="str">
        <f>OUTROS_BENEFICIOS_3_DESCRICAO</f>
        <v>Seguro de vida</v>
      </c>
      <c r="D52" s="276"/>
      <c r="E52" s="277"/>
      <c r="F52" s="58"/>
    </row>
    <row r="53" spans="2:7" s="107" customFormat="1" ht="15" customHeight="1" x14ac:dyDescent="0.4">
      <c r="B53" s="329" t="s">
        <v>46</v>
      </c>
      <c r="C53" s="329"/>
      <c r="D53" s="329"/>
      <c r="E53" s="329"/>
      <c r="F53" s="40">
        <f>SUM(F48:F52)</f>
        <v>452.07</v>
      </c>
    </row>
    <row r="54" spans="2:7" s="107" customFormat="1" x14ac:dyDescent="0.4">
      <c r="B54" s="51" t="s">
        <v>72</v>
      </c>
      <c r="C54" s="12"/>
      <c r="D54" s="22"/>
      <c r="E54" s="20"/>
      <c r="F54" s="20"/>
    </row>
    <row r="55" spans="2:7" s="107" customFormat="1" ht="15" customHeight="1" x14ac:dyDescent="0.4">
      <c r="B55" s="1">
        <v>3</v>
      </c>
      <c r="C55" s="260" t="s">
        <v>48</v>
      </c>
      <c r="D55" s="260"/>
      <c r="E55" s="4" t="s">
        <v>1</v>
      </c>
      <c r="F55" s="4" t="s">
        <v>13</v>
      </c>
    </row>
    <row r="56" spans="2:7" s="107" customFormat="1" x14ac:dyDescent="0.4">
      <c r="B56" s="1" t="s">
        <v>2</v>
      </c>
      <c r="C56" s="301" t="s">
        <v>49</v>
      </c>
      <c r="D56" s="301"/>
      <c r="E56" s="59">
        <f>PERC_AVISO_PREVIO_IND</f>
        <v>0.28999999999999998</v>
      </c>
      <c r="F56" s="58">
        <f>PERC_AVISO_PREVIO_IND%*(MOD_1_REMUNERACAO_12X36_NOT+SUBMOD_2_1_DEC_TERC_ADIC_FERIAS_12X36_NOT+AL_2_2_FGTS_12X36_NOT+SUBMOD_2_3_BENEFICIOS_12X36_NOT)</f>
        <v>9.2799999999999994</v>
      </c>
    </row>
    <row r="57" spans="2:7" s="107" customFormat="1" x14ac:dyDescent="0.4">
      <c r="B57" s="2" t="s">
        <v>3</v>
      </c>
      <c r="C57" s="303" t="s">
        <v>50</v>
      </c>
      <c r="D57" s="303"/>
      <c r="E57" s="46">
        <f>PERC_AVISO_PREVIO_TRAB</f>
        <v>1.1599999999999999</v>
      </c>
      <c r="F57" s="36">
        <f>PERC_AVISO_PREVIO_TRAB%*(MOD_1_REMUNERACAO_12X36_NOT+SUBMOD_2_1_DEC_TERC_ADIC_FERIAS_12X36_NOT+SUBMOD_2_2_GPS_FGTS_12X36_NOT+SUBMOD_2_3_BENEFICIOS_12X36_NOT)</f>
        <v>46.53</v>
      </c>
    </row>
    <row r="58" spans="2:7" s="98" customFormat="1" x14ac:dyDescent="0.25">
      <c r="B58" s="2" t="s">
        <v>4</v>
      </c>
      <c r="C58" s="301" t="s">
        <v>232</v>
      </c>
      <c r="D58" s="301"/>
      <c r="E58" s="59">
        <f>PERC_MULTA_FGTS_AV_PREV_TRAB</f>
        <v>0.04</v>
      </c>
      <c r="F58" s="58">
        <f>PERC_MULTA_FGTS_AV_PREV_TRAB%*(MOD_1_REMUNERACAO_12X36_NOT+SUBMOD_2_1_DEC_TERC_ADIC_FERIAS_12X36_NOT)</f>
        <v>1.02</v>
      </c>
    </row>
    <row r="59" spans="2:7" s="98" customFormat="1" x14ac:dyDescent="0.4">
      <c r="B59" s="268" t="s">
        <v>46</v>
      </c>
      <c r="C59" s="269"/>
      <c r="D59" s="269"/>
      <c r="E59" s="270"/>
      <c r="F59" s="41">
        <f>SUM(F56:F58)</f>
        <v>56.83</v>
      </c>
    </row>
    <row r="60" spans="2:7" ht="7.5" customHeight="1" x14ac:dyDescent="0.4">
      <c r="B60" s="16"/>
      <c r="C60" s="17"/>
      <c r="D60" s="18"/>
      <c r="E60" s="14"/>
      <c r="F60" s="14"/>
    </row>
    <row r="61" spans="2:7" s="98" customFormat="1" ht="15.9" customHeight="1" x14ac:dyDescent="0.4">
      <c r="B61" s="51" t="s">
        <v>73</v>
      </c>
      <c r="C61" s="12"/>
      <c r="D61" s="22"/>
      <c r="E61" s="13"/>
      <c r="F61" s="13"/>
    </row>
    <row r="62" spans="2:7" s="98" customFormat="1" ht="15.9" customHeight="1" x14ac:dyDescent="0.4">
      <c r="B62" s="51" t="s">
        <v>102</v>
      </c>
      <c r="C62" s="12"/>
      <c r="D62" s="22"/>
      <c r="E62" s="20"/>
      <c r="F62" s="20"/>
    </row>
    <row r="63" spans="2:7" s="98" customFormat="1" x14ac:dyDescent="0.25">
      <c r="B63" s="1" t="s">
        <v>18</v>
      </c>
      <c r="C63" s="302" t="s">
        <v>103</v>
      </c>
      <c r="D63" s="302"/>
      <c r="E63" s="4" t="s">
        <v>1</v>
      </c>
      <c r="F63" s="4" t="s">
        <v>13</v>
      </c>
    </row>
    <row r="64" spans="2:7" s="98" customFormat="1" ht="15.9" customHeight="1" x14ac:dyDescent="0.25">
      <c r="B64" s="2" t="s">
        <v>2</v>
      </c>
      <c r="C64" s="298" t="s">
        <v>104</v>
      </c>
      <c r="D64" s="298"/>
      <c r="E64" s="59">
        <f>PERC_SUBSTITUTO_FERIAS</f>
        <v>8.33</v>
      </c>
      <c r="F64" s="58">
        <f>PERC_SUBSTITUTO_FERIAS%*(MOD_1_REMUNERACAO_12X36_NOT+MOD_2_ENCARGOS_BENEFICIOS_12X36_NOT+MOD_3_PROVISAO_RESCISAO_12X36_NOT)</f>
        <v>338.85</v>
      </c>
    </row>
    <row r="65" spans="2:7" s="98" customFormat="1" ht="15.9" customHeight="1" x14ac:dyDescent="0.25">
      <c r="B65" s="2" t="s">
        <v>3</v>
      </c>
      <c r="C65" s="300" t="s">
        <v>105</v>
      </c>
      <c r="D65" s="300"/>
      <c r="E65" s="46">
        <f>PERC_SUBSTITUTO_AUSENCIAS_LEGAIS</f>
        <v>2.2200000000000002</v>
      </c>
      <c r="F65" s="36">
        <f>PERC_SUBSTITUTO_AUSENCIAS_LEGAIS%*(MOD_1_REMUNERACAO_12X36_NOT+MOD_2_ENCARGOS_BENEFICIOS_12X36_NOT+MOD_3_PROVISAO_RESCISAO_12X36_NOT)</f>
        <v>90.31</v>
      </c>
    </row>
    <row r="66" spans="2:7" s="98" customFormat="1" ht="15.9" customHeight="1" x14ac:dyDescent="0.25">
      <c r="B66" s="2" t="s">
        <v>4</v>
      </c>
      <c r="C66" s="298" t="s">
        <v>106</v>
      </c>
      <c r="D66" s="298"/>
      <c r="E66" s="59">
        <f>PERC_SUBSTITUTO_LICENCA_PATERNIDADE</f>
        <v>7.0000000000000007E-2</v>
      </c>
      <c r="F66" s="58">
        <f>PERC_SUBSTITUTO_LICENCA_PATERNIDADE%*(MOD_1_REMUNERACAO_12X36_NOT+MOD_2_ENCARGOS_BENEFICIOS_12X36_NOT+MOD_3_PROVISAO_RESCISAO_12X36_NOT)</f>
        <v>2.85</v>
      </c>
    </row>
    <row r="67" spans="2:7" s="98" customFormat="1" x14ac:dyDescent="0.25">
      <c r="B67" s="2" t="s">
        <v>5</v>
      </c>
      <c r="C67" s="300" t="s">
        <v>107</v>
      </c>
      <c r="D67" s="300"/>
      <c r="E67" s="46">
        <f>PERC_SUBSTITUTO_ACID_TRAB</f>
        <v>0.02</v>
      </c>
      <c r="F67" s="36">
        <f>PERC_SUBSTITUTO_ACID_TRAB%*(MOD_1_REMUNERACAO_12X36_NOT+MOD_2_ENCARGOS_BENEFICIOS_12X36_NOT+MOD_3_PROVISAO_RESCISAO_12X36_NOT)</f>
        <v>0.81</v>
      </c>
    </row>
    <row r="68" spans="2:7" s="98" customFormat="1" x14ac:dyDescent="0.25">
      <c r="B68" s="2" t="s">
        <v>6</v>
      </c>
      <c r="C68" s="298" t="s">
        <v>108</v>
      </c>
      <c r="D68" s="298"/>
      <c r="E68" s="59">
        <f>PERC_SUBSTITUTO_AFAST_MATERN</f>
        <v>0.04</v>
      </c>
      <c r="F68" s="58">
        <f>PERC_SUBSTITUTO_AFAST_MATERN%*(MOD_1_REMUNERACAO_12X36_NOT+MOD_2_ENCARGOS_BENEFICIOS_12X36_NOT+MOD_3_PROVISAO_RESCISAO_12X36_NOT)</f>
        <v>1.63</v>
      </c>
    </row>
    <row r="69" spans="2:7" s="98" customFormat="1" x14ac:dyDescent="0.25">
      <c r="B69" s="2" t="s">
        <v>7</v>
      </c>
      <c r="C69" s="325" t="str">
        <f>OUTRAS_AUSENCIAS_DESCRICAO</f>
        <v>Outras Ausências (Especificar - em %)</v>
      </c>
      <c r="D69" s="300"/>
      <c r="E69" s="53">
        <f>PERC_SUBSTITUTO_OUTRAS_AUSENCIAS</f>
        <v>0</v>
      </c>
      <c r="F69" s="36">
        <f>PERC_SUBSTITUTO_OUTRAS_AUSENCIAS%*(MOD_1_REMUNERACAO_12X36_NOT+MOD_2_ENCARGOS_BENEFICIOS_12X36_NOT+MOD_3_PROVISAO_RESCISAO_12X36_NOT)</f>
        <v>0</v>
      </c>
    </row>
    <row r="70" spans="2:7" s="98" customFormat="1" x14ac:dyDescent="0.4">
      <c r="B70" s="268" t="s">
        <v>46</v>
      </c>
      <c r="C70" s="269"/>
      <c r="D70" s="269"/>
      <c r="E70" s="270"/>
      <c r="F70" s="41">
        <f>SUM(F64:F69)</f>
        <v>434.45</v>
      </c>
    </row>
    <row r="71" spans="2:7" s="98" customFormat="1" ht="15" customHeight="1" x14ac:dyDescent="0.4">
      <c r="B71" s="51" t="s">
        <v>226</v>
      </c>
      <c r="C71" s="12"/>
      <c r="D71" s="22"/>
      <c r="E71" s="20"/>
      <c r="F71" s="20"/>
    </row>
    <row r="72" spans="2:7" s="98" customFormat="1" x14ac:dyDescent="0.25">
      <c r="B72" s="1" t="s">
        <v>19</v>
      </c>
      <c r="C72" s="260" t="s">
        <v>225</v>
      </c>
      <c r="D72" s="260"/>
      <c r="E72" s="260"/>
      <c r="F72" s="4" t="s">
        <v>13</v>
      </c>
    </row>
    <row r="73" spans="2:7" s="98" customFormat="1" ht="16.5" customHeight="1" x14ac:dyDescent="0.25">
      <c r="B73" s="1" t="s">
        <v>2</v>
      </c>
      <c r="C73" s="298" t="s">
        <v>109</v>
      </c>
      <c r="D73" s="298"/>
      <c r="E73" s="298"/>
      <c r="F73" s="57">
        <f>((MOD_1_REMUNERACAO_12X36_NOT+MOD_2_ENCARGOS_BENEFICIOS_12X36_NOT+MOD_3_PROVISAO_RESCISAO_12X36_NOT)/DIVISOR_DE_HORAS)*((TEMPO_INTERVALO_REFEICAO/HORA_NORMAL))*DIAS_TRABALHADOS_NO_MES_12X36</f>
        <v>277.35000000000002</v>
      </c>
      <c r="G73" s="141"/>
    </row>
    <row r="74" spans="2:7" s="98" customFormat="1" x14ac:dyDescent="0.4">
      <c r="B74" s="260" t="s">
        <v>46</v>
      </c>
      <c r="C74" s="260"/>
      <c r="D74" s="260"/>
      <c r="E74" s="260"/>
      <c r="F74" s="41">
        <f>SUM(F73:F73)</f>
        <v>277.35000000000002</v>
      </c>
    </row>
    <row r="75" spans="2:7" ht="7.5" customHeight="1" x14ac:dyDescent="0.4">
      <c r="B75" s="16"/>
      <c r="C75" s="17"/>
      <c r="D75" s="18"/>
      <c r="E75" s="14"/>
      <c r="F75" s="14"/>
    </row>
    <row r="76" spans="2:7" x14ac:dyDescent="0.4">
      <c r="B76" s="51" t="s">
        <v>77</v>
      </c>
      <c r="C76" s="12"/>
      <c r="D76" s="12"/>
      <c r="E76" s="20"/>
      <c r="F76" s="20"/>
    </row>
    <row r="77" spans="2:7" ht="15.75" customHeight="1" x14ac:dyDescent="0.4">
      <c r="B77" s="49">
        <v>5</v>
      </c>
      <c r="C77" s="271" t="s">
        <v>0</v>
      </c>
      <c r="D77" s="271"/>
      <c r="E77" s="271"/>
      <c r="F77" s="50" t="s">
        <v>13</v>
      </c>
    </row>
    <row r="78" spans="2:7" x14ac:dyDescent="0.4">
      <c r="B78" s="44" t="s">
        <v>2</v>
      </c>
      <c r="C78" s="272" t="s">
        <v>16</v>
      </c>
      <c r="D78" s="272"/>
      <c r="E78" s="272"/>
      <c r="F78" s="60">
        <f>UNIFORMES</f>
        <v>244.71</v>
      </c>
    </row>
    <row r="79" spans="2:7" x14ac:dyDescent="0.4">
      <c r="B79" s="44" t="s">
        <v>3</v>
      </c>
      <c r="C79" s="273" t="s">
        <v>285</v>
      </c>
      <c r="D79" s="273"/>
      <c r="E79" s="273"/>
      <c r="F79" s="47">
        <f>MATERIAIS</f>
        <v>77.400000000000006</v>
      </c>
    </row>
    <row r="80" spans="2:7" x14ac:dyDescent="0.4">
      <c r="B80" s="44" t="s">
        <v>4</v>
      </c>
      <c r="C80" s="272" t="s">
        <v>286</v>
      </c>
      <c r="D80" s="272"/>
      <c r="E80" s="272"/>
      <c r="F80" s="60">
        <f>EQUIPAMENTOS</f>
        <v>8.09</v>
      </c>
    </row>
    <row r="81" spans="2:6" x14ac:dyDescent="0.4">
      <c r="B81" s="44" t="s">
        <v>5</v>
      </c>
      <c r="C81" s="324" t="str">
        <f>OUTROS_INSUMOS_DESCRICAO</f>
        <v>Outros (Especificar)</v>
      </c>
      <c r="D81" s="273"/>
      <c r="E81" s="273"/>
      <c r="F81" s="47">
        <f>OUTROS_INSUMOS</f>
        <v>0</v>
      </c>
    </row>
    <row r="82" spans="2:6" x14ac:dyDescent="0.4">
      <c r="B82" s="328" t="s">
        <v>46</v>
      </c>
      <c r="C82" s="328"/>
      <c r="D82" s="328"/>
      <c r="E82" s="328"/>
      <c r="F82" s="43">
        <f>SUM(F78:F81)</f>
        <v>330.2</v>
      </c>
    </row>
    <row r="83" spans="2:6" ht="7.5" customHeight="1" x14ac:dyDescent="0.4">
      <c r="B83" s="16"/>
      <c r="C83" s="17"/>
      <c r="D83" s="18"/>
      <c r="E83" s="14"/>
      <c r="F83" s="14"/>
    </row>
    <row r="84" spans="2:6" ht="15" customHeight="1" x14ac:dyDescent="0.4">
      <c r="B84" s="264" t="s">
        <v>76</v>
      </c>
      <c r="C84" s="264"/>
      <c r="D84" s="264"/>
      <c r="E84" s="264"/>
      <c r="F84" s="264"/>
    </row>
    <row r="85" spans="2:6" x14ac:dyDescent="0.4">
      <c r="B85" s="1">
        <v>6</v>
      </c>
      <c r="C85" s="260" t="s">
        <v>20</v>
      </c>
      <c r="D85" s="260"/>
      <c r="E85" s="4" t="s">
        <v>1</v>
      </c>
      <c r="F85" s="4" t="s">
        <v>13</v>
      </c>
    </row>
    <row r="86" spans="2:6" x14ac:dyDescent="0.4">
      <c r="B86" s="1" t="s">
        <v>2</v>
      </c>
      <c r="C86" s="298" t="s">
        <v>78</v>
      </c>
      <c r="D86" s="298"/>
      <c r="E86" s="61">
        <f>PERC_CUSTOS_INDIRETOS</f>
        <v>4.8499999999999996</v>
      </c>
      <c r="F86" s="58">
        <f>PERC_CUSTOS_INDIRETOS%*(MOD_1_REMUNERACAO_12X36_NOT+MOD_2_ENCARGOS_BENEFICIOS_12X36_NOT+MOD_3_PROVISAO_RESCISAO_12X36_NOT+MOD_4_CUSTO_REPOSICAO_12X36_NOT+MOD_5_INSUMOS_12X36_NOT)</f>
        <v>247.83</v>
      </c>
    </row>
    <row r="87" spans="2:6" ht="15.75" customHeight="1" x14ac:dyDescent="0.4">
      <c r="B87" s="2" t="s">
        <v>3</v>
      </c>
      <c r="C87" s="300" t="s">
        <v>32</v>
      </c>
      <c r="D87" s="300"/>
      <c r="E87" s="48">
        <f>PERC_LUCRO</f>
        <v>5.45</v>
      </c>
      <c r="F87" s="36">
        <f>PERC_LUCRO%*(MOD_1_REMUNERACAO_12X36_NOT+MOD_2_ENCARGOS_BENEFICIOS_12X36_NOT+MOD_3_PROVISAO_RESCISAO_12X36_NOT+MOD_4_CUSTO_REPOSICAO_12X36_NOT+MOD_5_INSUMOS_12X36_NOT+AL_6_A_CUSTOS_INDIRETOS_12X36_NOT)</f>
        <v>291.99</v>
      </c>
    </row>
    <row r="88" spans="2:6" x14ac:dyDescent="0.4">
      <c r="B88" s="2" t="s">
        <v>4</v>
      </c>
      <c r="C88" s="298" t="s">
        <v>21</v>
      </c>
      <c r="D88" s="298"/>
      <c r="E88" s="61">
        <f>SUM(E89:E91)</f>
        <v>8.65</v>
      </c>
      <c r="F88" s="58">
        <f>SUM(F89:F91)</f>
        <v>534.97</v>
      </c>
    </row>
    <row r="89" spans="2:6" ht="15.75" customHeight="1" x14ac:dyDescent="0.4">
      <c r="B89" s="30" t="s">
        <v>79</v>
      </c>
      <c r="C89" s="326" t="s">
        <v>23</v>
      </c>
      <c r="D89" s="326"/>
      <c r="E89" s="31">
        <f>PERC_PIS</f>
        <v>0.65</v>
      </c>
      <c r="F89" s="63">
        <f>((MOD_1_REMUNERACAO_12X36_NOT+MOD_2_ENCARGOS_BENEFICIOS_12X36_NOT+MOD_3_PROVISAO_RESCISAO_12X36_NOT+MOD_4_CUSTO_REPOSICAO_12X36_NOT+MOD_5_INSUMOS_12X36_NOT+AL_6_A_CUSTOS_INDIRETOS_12X36_NOT+AL_6_B_LUCRO_12X36_NOT)*PERC_PIS%)/(1-PERC_TRIBUTOS%)</f>
        <v>40.200000000000003</v>
      </c>
    </row>
    <row r="90" spans="2:6" x14ac:dyDescent="0.4">
      <c r="B90" s="30" t="s">
        <v>80</v>
      </c>
      <c r="C90" s="327" t="s">
        <v>24</v>
      </c>
      <c r="D90" s="327"/>
      <c r="E90" s="62">
        <f>PERC_COFINS</f>
        <v>3</v>
      </c>
      <c r="F90" s="64">
        <f>((MOD_1_REMUNERACAO_12X36_NOT+MOD_2_ENCARGOS_BENEFICIOS_12X36_NOT+MOD_3_PROVISAO_RESCISAO_12X36_NOT+MOD_4_CUSTO_REPOSICAO_12X36_NOT+MOD_5_INSUMOS_12X36_NOT+AL_6_A_CUSTOS_INDIRETOS_12X36_NOT+AL_6_B_LUCRO_12X36_NOT)*PERC_COFINS%)/(1-PERC_TRIBUTOS%)</f>
        <v>185.54</v>
      </c>
    </row>
    <row r="91" spans="2:6" s="108" customFormat="1" x14ac:dyDescent="0.4">
      <c r="B91" s="30" t="s">
        <v>81</v>
      </c>
      <c r="C91" s="326" t="s">
        <v>25</v>
      </c>
      <c r="D91" s="326"/>
      <c r="E91" s="31">
        <f>PERC_ISS</f>
        <v>5</v>
      </c>
      <c r="F91" s="63">
        <f>((MOD_1_REMUNERACAO_12X36_NOT+MOD_2_ENCARGOS_BENEFICIOS_12X36_NOT+MOD_3_PROVISAO_RESCISAO_12X36_NOT+MOD_4_CUSTO_REPOSICAO_12X36_NOT+MOD_5_INSUMOS_12X36_NOT+AL_6_A_CUSTOS_INDIRETOS_12X36_NOT+AL_6_B_LUCRO_12X36_NOT)*PERC_ISS%)/(1-PERC_TRIBUTOS%)</f>
        <v>309.23</v>
      </c>
    </row>
    <row r="92" spans="2:6" s="108" customFormat="1" x14ac:dyDescent="0.4">
      <c r="B92" s="268" t="s">
        <v>46</v>
      </c>
      <c r="C92" s="269"/>
      <c r="D92" s="269"/>
      <c r="E92" s="270"/>
      <c r="F92" s="37">
        <f>AL_6_A_CUSTOS_INDIRETOS_12X36_NOT+AL_6_B_LUCRO_12X36_NOT+AL_6_C_TRIBUTOS_12X36_NOT</f>
        <v>1074.79</v>
      </c>
    </row>
    <row r="93" spans="2:6" s="108" customFormat="1" x14ac:dyDescent="0.4">
      <c r="B93" s="264" t="s">
        <v>261</v>
      </c>
      <c r="C93" s="264"/>
      <c r="D93" s="264"/>
      <c r="E93" s="264"/>
      <c r="F93" s="264"/>
    </row>
    <row r="94" spans="2:6" s="108" customFormat="1" x14ac:dyDescent="0.4">
      <c r="B94" s="147" t="s">
        <v>2</v>
      </c>
      <c r="C94" s="275" t="str">
        <f>'INSERÇÃO-DE-DADOS'!C86:E86</f>
        <v>Dia do Vigilante - Clausula 82ª CCT - Jornada 12x36 noturno</v>
      </c>
      <c r="D94" s="276"/>
      <c r="E94" s="277"/>
      <c r="F94" s="57">
        <f>'INSERÇÃO-DE-DADOS'!F86</f>
        <v>11.69</v>
      </c>
    </row>
    <row r="95" spans="2:6" s="108" customFormat="1" ht="20.399999999999999" x14ac:dyDescent="0.4">
      <c r="B95" s="52" t="s">
        <v>53</v>
      </c>
      <c r="C95" s="15"/>
      <c r="D95" s="15"/>
      <c r="E95" s="15"/>
      <c r="F95" s="23"/>
    </row>
    <row r="96" spans="2:6" s="109" customFormat="1" ht="16.5" customHeight="1" x14ac:dyDescent="0.4">
      <c r="B96" s="2" t="s">
        <v>98</v>
      </c>
      <c r="C96" s="257" t="s">
        <v>99</v>
      </c>
      <c r="D96" s="258"/>
      <c r="E96" s="259"/>
      <c r="F96" s="4" t="s">
        <v>17</v>
      </c>
    </row>
    <row r="97" spans="2:6" s="108" customFormat="1" x14ac:dyDescent="0.4">
      <c r="B97" s="1">
        <v>1</v>
      </c>
      <c r="C97" s="298" t="s">
        <v>9</v>
      </c>
      <c r="D97" s="298"/>
      <c r="E97" s="298"/>
      <c r="F97" s="58">
        <f>MOD_1_REMUNERACAO_12X36_NOT</f>
        <v>2291.19</v>
      </c>
    </row>
    <row r="98" spans="2:6" s="110" customFormat="1" ht="16.5" customHeight="1" x14ac:dyDescent="0.4">
      <c r="B98" s="2">
        <v>2</v>
      </c>
      <c r="C98" s="300" t="s">
        <v>100</v>
      </c>
      <c r="D98" s="300"/>
      <c r="E98" s="300"/>
      <c r="F98" s="36">
        <f>MOD_2_ENCARGOS_BENEFICIOS_12X36_NOT</f>
        <v>1719.84</v>
      </c>
    </row>
    <row r="99" spans="2:6" s="110" customFormat="1" x14ac:dyDescent="0.4">
      <c r="B99" s="2">
        <v>3</v>
      </c>
      <c r="C99" s="298" t="s">
        <v>48</v>
      </c>
      <c r="D99" s="298"/>
      <c r="E99" s="298"/>
      <c r="F99" s="58">
        <f>MOD_3_PROVISAO_RESCISAO_12X36_NOT</f>
        <v>56.83</v>
      </c>
    </row>
    <row r="100" spans="2:6" s="110" customFormat="1" x14ac:dyDescent="0.4">
      <c r="B100" s="2">
        <v>4</v>
      </c>
      <c r="C100" s="300" t="s">
        <v>51</v>
      </c>
      <c r="D100" s="300"/>
      <c r="E100" s="300"/>
      <c r="F100" s="36">
        <f>MOD_4_CUSTO_REPOSICAO_12X36_NOT</f>
        <v>711.8</v>
      </c>
    </row>
    <row r="101" spans="2:6" s="110" customFormat="1" x14ac:dyDescent="0.4">
      <c r="B101" s="2">
        <v>5</v>
      </c>
      <c r="C101" s="298" t="s">
        <v>0</v>
      </c>
      <c r="D101" s="298"/>
      <c r="E101" s="298"/>
      <c r="F101" s="58">
        <f>MOD_5_INSUMOS_12X36_NOT</f>
        <v>330.2</v>
      </c>
    </row>
    <row r="102" spans="2:6" s="110" customFormat="1" x14ac:dyDescent="0.4">
      <c r="B102" s="2">
        <v>6</v>
      </c>
      <c r="C102" s="300" t="s">
        <v>20</v>
      </c>
      <c r="D102" s="300"/>
      <c r="E102" s="300"/>
      <c r="F102" s="36">
        <f>MOD_6_CUSTOS_IND_LUCRO_TRIB_12X36_NOT</f>
        <v>1074.79</v>
      </c>
    </row>
    <row r="103" spans="2:6" s="110" customFormat="1" ht="33.6" x14ac:dyDescent="0.4">
      <c r="B103" s="2">
        <v>7</v>
      </c>
      <c r="C103" s="149" t="str">
        <f>C94</f>
        <v>Dia do Vigilante - Clausula 82ª CCT - Jornada 12x36 noturno</v>
      </c>
      <c r="D103" s="146"/>
      <c r="E103" s="146"/>
      <c r="F103" s="36">
        <f>F94</f>
        <v>11.69</v>
      </c>
    </row>
    <row r="104" spans="2:6" ht="16.5" customHeight="1" x14ac:dyDescent="0.4">
      <c r="B104" s="302" t="s">
        <v>101</v>
      </c>
      <c r="C104" s="302"/>
      <c r="D104" s="302"/>
      <c r="E104" s="302"/>
      <c r="F104" s="37">
        <f>SUM(F97:F103)</f>
        <v>6196.34</v>
      </c>
    </row>
    <row r="105" spans="2:6" ht="16.5" customHeight="1" x14ac:dyDescent="0.4">
      <c r="B105" s="302" t="s">
        <v>30</v>
      </c>
      <c r="C105" s="302"/>
      <c r="D105" s="302"/>
      <c r="E105" s="302"/>
      <c r="F105" s="37">
        <f>VALOR_TOTAL_EMPREGADO_12x36_NOT*EMPREG_POR_POSTO_12X36_NOT</f>
        <v>12392.68</v>
      </c>
    </row>
  </sheetData>
  <mergeCells count="93">
    <mergeCell ref="B93:F93"/>
    <mergeCell ref="C94:E94"/>
    <mergeCell ref="C102:E102"/>
    <mergeCell ref="B104:E104"/>
    <mergeCell ref="B105:E105"/>
    <mergeCell ref="C96:E96"/>
    <mergeCell ref="C97:E97"/>
    <mergeCell ref="C98:E98"/>
    <mergeCell ref="C99:E99"/>
    <mergeCell ref="C100:E100"/>
    <mergeCell ref="C101:E101"/>
    <mergeCell ref="B92:E92"/>
    <mergeCell ref="C80:E80"/>
    <mergeCell ref="C81:E81"/>
    <mergeCell ref="B82:E82"/>
    <mergeCell ref="B84:F84"/>
    <mergeCell ref="C85:D85"/>
    <mergeCell ref="C86:D86"/>
    <mergeCell ref="C87:D87"/>
    <mergeCell ref="C88:D88"/>
    <mergeCell ref="C89:D89"/>
    <mergeCell ref="C90:D90"/>
    <mergeCell ref="C91:D91"/>
    <mergeCell ref="C79:E79"/>
    <mergeCell ref="C66:D66"/>
    <mergeCell ref="C67:D67"/>
    <mergeCell ref="C68:D68"/>
    <mergeCell ref="C69:D69"/>
    <mergeCell ref="B70:E70"/>
    <mergeCell ref="C72:E72"/>
    <mergeCell ref="C73:E73"/>
    <mergeCell ref="B74:E74"/>
    <mergeCell ref="C77:E77"/>
    <mergeCell ref="C78:E78"/>
    <mergeCell ref="C65:D65"/>
    <mergeCell ref="C50:E50"/>
    <mergeCell ref="C51:E51"/>
    <mergeCell ref="C52:E52"/>
    <mergeCell ref="B53:E53"/>
    <mergeCell ref="C55:D55"/>
    <mergeCell ref="C56:D56"/>
    <mergeCell ref="C57:D57"/>
    <mergeCell ref="C58:D58"/>
    <mergeCell ref="B59:E59"/>
    <mergeCell ref="C63:D63"/>
    <mergeCell ref="C64:D64"/>
    <mergeCell ref="C49:E49"/>
    <mergeCell ref="C37:D37"/>
    <mergeCell ref="C38:D38"/>
    <mergeCell ref="C39:D39"/>
    <mergeCell ref="C40:D40"/>
    <mergeCell ref="C41:D41"/>
    <mergeCell ref="C42:D42"/>
    <mergeCell ref="C43:D43"/>
    <mergeCell ref="C44:D44"/>
    <mergeCell ref="B45:E45"/>
    <mergeCell ref="C47:E47"/>
    <mergeCell ref="C48:E48"/>
    <mergeCell ref="C36:D36"/>
    <mergeCell ref="C24:E24"/>
    <mergeCell ref="C25:E25"/>
    <mergeCell ref="C26:E26"/>
    <mergeCell ref="C27:E27"/>
    <mergeCell ref="B28:E28"/>
    <mergeCell ref="C31:D31"/>
    <mergeCell ref="C32:D32"/>
    <mergeCell ref="C33:D33"/>
    <mergeCell ref="B34:E34"/>
    <mergeCell ref="B35:F35"/>
    <mergeCell ref="C23:E23"/>
    <mergeCell ref="C11:E11"/>
    <mergeCell ref="C12:E12"/>
    <mergeCell ref="C14:D14"/>
    <mergeCell ref="E14:F14"/>
    <mergeCell ref="D15:F15"/>
    <mergeCell ref="D16:F16"/>
    <mergeCell ref="C17:E17"/>
    <mergeCell ref="B18:F18"/>
    <mergeCell ref="B19:E19"/>
    <mergeCell ref="C21:E21"/>
    <mergeCell ref="C22:E22"/>
    <mergeCell ref="C10:E10"/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05"/>
  <sheetViews>
    <sheetView topLeftCell="A69" zoomScaleNormal="100" zoomScaleSheetLayoutView="100" workbookViewId="0">
      <selection activeCell="F73" sqref="F73"/>
    </sheetView>
  </sheetViews>
  <sheetFormatPr defaultColWidth="9.109375" defaultRowHeight="16.8" x14ac:dyDescent="0.4"/>
  <cols>
    <col min="1" max="1" width="2.6640625" style="13" customWidth="1"/>
    <col min="2" max="2" width="8.88671875" style="13" customWidth="1"/>
    <col min="3" max="3" width="52.5546875" style="19" customWidth="1"/>
    <col min="4" max="4" width="7.88671875" style="19" customWidth="1"/>
    <col min="5" max="5" width="13.5546875" style="19" customWidth="1"/>
    <col min="6" max="6" width="15.44140625" style="19" bestFit="1" customWidth="1"/>
    <col min="7" max="7" width="15.44140625" style="13" customWidth="1"/>
    <col min="8" max="8" width="65.33203125" style="13" customWidth="1"/>
    <col min="9" max="10" width="12.5546875" style="13" bestFit="1" customWidth="1"/>
    <col min="11" max="16384" width="9.109375" style="13"/>
  </cols>
  <sheetData>
    <row r="1" spans="2:6" ht="20.399999999999999" x14ac:dyDescent="0.45">
      <c r="B1" s="313" t="str">
        <f>RAMO</f>
        <v>RAMO: MINISTÉRIO PÚBLIC FEDERAL</v>
      </c>
      <c r="C1" s="314"/>
      <c r="D1" s="314"/>
      <c r="E1" s="314"/>
      <c r="F1" s="315"/>
    </row>
    <row r="2" spans="2:6" ht="20.399999999999999" x14ac:dyDescent="0.45">
      <c r="B2" s="316" t="str">
        <f>UG</f>
        <v>UNIDADE GESTORA (SIGLA): PR-PA</v>
      </c>
      <c r="C2" s="317"/>
      <c r="D2" s="318"/>
      <c r="E2" s="113" t="s">
        <v>57</v>
      </c>
      <c r="F2" s="114" t="str">
        <f>DATA_DO_ORCAMENTO_ESTIMATIVO</f>
        <v>XX/XX/20XX</v>
      </c>
    </row>
    <row r="3" spans="2:6" s="98" customFormat="1" ht="24.6" x14ac:dyDescent="0.55000000000000004">
      <c r="B3" s="281" t="s">
        <v>54</v>
      </c>
      <c r="C3" s="281"/>
      <c r="D3" s="281"/>
      <c r="E3" s="281"/>
      <c r="F3" s="281"/>
    </row>
    <row r="4" spans="2:6" s="98" customFormat="1" ht="15.9" customHeight="1" x14ac:dyDescent="0.4">
      <c r="B4" s="282" t="s">
        <v>97</v>
      </c>
      <c r="C4" s="282"/>
      <c r="D4" s="282"/>
      <c r="E4" s="282"/>
      <c r="F4" s="282"/>
    </row>
    <row r="5" spans="2:6" s="98" customFormat="1" ht="15.9" customHeight="1" x14ac:dyDescent="0.4">
      <c r="B5" s="285" t="s">
        <v>223</v>
      </c>
      <c r="C5" s="285"/>
      <c r="D5" s="319" t="str">
        <f>NUMERO_PROCESSO</f>
        <v>1.23.000.000855/2020-32</v>
      </c>
      <c r="E5" s="319"/>
      <c r="F5" s="319"/>
    </row>
    <row r="6" spans="2:6" s="98" customFormat="1" ht="15.75" customHeight="1" x14ac:dyDescent="0.4">
      <c r="B6" s="289" t="s">
        <v>224</v>
      </c>
      <c r="C6" s="289"/>
      <c r="D6" s="320" t="str">
        <f>MODALIDADE_DE_LICITACAO</f>
        <v>Pregão nº</v>
      </c>
      <c r="E6" s="320"/>
      <c r="F6" s="118" t="str">
        <f>NUMERO_PREGAO</f>
        <v>XX/20XX</v>
      </c>
    </row>
    <row r="7" spans="2:6" s="99" customFormat="1" ht="15.75" customHeight="1" x14ac:dyDescent="0.45">
      <c r="B7" s="321" t="s">
        <v>58</v>
      </c>
      <c r="C7" s="321"/>
      <c r="D7" s="321"/>
      <c r="E7" s="321"/>
      <c r="F7" s="321"/>
    </row>
    <row r="8" spans="2:6" s="98" customFormat="1" ht="18" customHeight="1" x14ac:dyDescent="0.4">
      <c r="B8" s="25" t="s">
        <v>2</v>
      </c>
      <c r="C8" s="285" t="s">
        <v>63</v>
      </c>
      <c r="D8" s="285"/>
      <c r="E8" s="285"/>
      <c r="F8" s="119" t="str">
        <f>DATA_APRESENTACAO_PROPOSTA</f>
        <v>XX/XX/20XX</v>
      </c>
    </row>
    <row r="9" spans="2:6" s="98" customFormat="1" ht="15.9" customHeight="1" x14ac:dyDescent="0.25">
      <c r="B9" s="1" t="s">
        <v>3</v>
      </c>
      <c r="C9" s="67" t="s">
        <v>36</v>
      </c>
      <c r="D9" s="311" t="s">
        <v>271</v>
      </c>
      <c r="E9" s="311"/>
      <c r="F9" s="311"/>
    </row>
    <row r="10" spans="2:6" s="98" customFormat="1" ht="18.75" customHeight="1" x14ac:dyDescent="0.4">
      <c r="B10" s="25" t="s">
        <v>4</v>
      </c>
      <c r="C10" s="285" t="s">
        <v>37</v>
      </c>
      <c r="D10" s="285"/>
      <c r="E10" s="285"/>
      <c r="F10" s="120" t="str">
        <f>ACORDO_COLETIVO</f>
        <v>CCT 2020/2021</v>
      </c>
    </row>
    <row r="11" spans="2:6" s="98" customFormat="1" ht="15.9" customHeight="1" x14ac:dyDescent="0.4">
      <c r="B11" s="1" t="s">
        <v>5</v>
      </c>
      <c r="C11" s="311" t="s">
        <v>64</v>
      </c>
      <c r="D11" s="311"/>
      <c r="E11" s="311"/>
      <c r="F11" s="121">
        <f>NUMERO_MESES_EXEC_CONTRATUAL</f>
        <v>12</v>
      </c>
    </row>
    <row r="12" spans="2:6" s="98" customFormat="1" x14ac:dyDescent="0.4">
      <c r="B12" s="1" t="s">
        <v>6</v>
      </c>
      <c r="C12" s="312" t="s">
        <v>85</v>
      </c>
      <c r="D12" s="312"/>
      <c r="E12" s="312"/>
      <c r="F12" s="102">
        <v>2</v>
      </c>
    </row>
    <row r="13" spans="2:6" s="98" customFormat="1" ht="7.5" customHeight="1" x14ac:dyDescent="0.4">
      <c r="B13" s="122"/>
      <c r="C13" s="123"/>
      <c r="D13" s="123"/>
      <c r="E13" s="123"/>
      <c r="F13" s="104"/>
    </row>
    <row r="14" spans="2:6" s="98" customFormat="1" ht="21" customHeight="1" x14ac:dyDescent="0.55000000000000004">
      <c r="B14" s="106" t="s">
        <v>205</v>
      </c>
      <c r="C14" s="13"/>
      <c r="D14" s="13"/>
      <c r="E14" s="13"/>
      <c r="F14" s="13"/>
    </row>
    <row r="15" spans="2:6" s="98" customFormat="1" x14ac:dyDescent="0.4">
      <c r="B15" s="25">
        <v>1</v>
      </c>
      <c r="C15" s="243" t="s">
        <v>60</v>
      </c>
      <c r="D15" s="243"/>
      <c r="E15" s="247" t="str">
        <f>TIPO_DE_SERVICO</f>
        <v>Vigilância</v>
      </c>
      <c r="F15" s="247"/>
    </row>
    <row r="16" spans="2:6" s="99" customFormat="1" x14ac:dyDescent="0.4">
      <c r="B16" s="25">
        <v>2</v>
      </c>
      <c r="C16" s="27" t="s">
        <v>59</v>
      </c>
      <c r="D16" s="246" t="str">
        <f>CBO</f>
        <v>5173-30</v>
      </c>
      <c r="E16" s="246"/>
      <c r="F16" s="246"/>
    </row>
    <row r="17" spans="2:6" s="98" customFormat="1" ht="15" customHeight="1" x14ac:dyDescent="0.4">
      <c r="B17" s="25">
        <v>3</v>
      </c>
      <c r="C17" s="56" t="s">
        <v>61</v>
      </c>
      <c r="D17" s="247" t="str">
        <f>CATEGORIA_PROFISSIONAL</f>
        <v>Vigilante</v>
      </c>
      <c r="E17" s="247"/>
      <c r="F17" s="247"/>
    </row>
    <row r="18" spans="2:6" s="98" customFormat="1" ht="15" customHeight="1" x14ac:dyDescent="0.4">
      <c r="B18" s="25">
        <v>4</v>
      </c>
      <c r="C18" s="248" t="s">
        <v>62</v>
      </c>
      <c r="D18" s="248"/>
      <c r="E18" s="248"/>
      <c r="F18" s="135">
        <f>DATA_BASE_CATEGORIA</f>
        <v>43831</v>
      </c>
    </row>
    <row r="19" spans="2:6" s="98" customFormat="1" ht="15" customHeight="1" x14ac:dyDescent="0.4">
      <c r="B19" s="28"/>
      <c r="C19" s="29"/>
      <c r="D19" s="29"/>
      <c r="E19" s="29"/>
      <c r="F19" s="105"/>
    </row>
    <row r="20" spans="2:6" s="124" customFormat="1" ht="30" customHeight="1" x14ac:dyDescent="0.4">
      <c r="B20" s="322" t="s">
        <v>40</v>
      </c>
      <c r="C20" s="322"/>
      <c r="D20" s="322"/>
      <c r="E20" s="322"/>
      <c r="F20" s="322"/>
    </row>
    <row r="21" spans="2:6" x14ac:dyDescent="0.4">
      <c r="B21" s="260" t="s">
        <v>52</v>
      </c>
      <c r="C21" s="260"/>
      <c r="D21" s="260"/>
      <c r="E21" s="260"/>
      <c r="F21" s="117">
        <v>2</v>
      </c>
    </row>
    <row r="22" spans="2:6" x14ac:dyDescent="0.4">
      <c r="B22" s="51" t="s">
        <v>8</v>
      </c>
      <c r="E22" s="14"/>
      <c r="F22" s="14"/>
    </row>
    <row r="23" spans="2:6" x14ac:dyDescent="0.4">
      <c r="B23" s="1">
        <v>1</v>
      </c>
      <c r="C23" s="244" t="s">
        <v>9</v>
      </c>
      <c r="D23" s="323"/>
      <c r="E23" s="245"/>
      <c r="F23" s="4" t="s">
        <v>13</v>
      </c>
    </row>
    <row r="24" spans="2:6" x14ac:dyDescent="0.4">
      <c r="B24" s="1" t="s">
        <v>2</v>
      </c>
      <c r="C24" s="275" t="s">
        <v>92</v>
      </c>
      <c r="D24" s="276"/>
      <c r="E24" s="277"/>
      <c r="F24" s="57">
        <f>SALARIO_BASE</f>
        <v>1401.07</v>
      </c>
    </row>
    <row r="25" spans="2:6" x14ac:dyDescent="0.4">
      <c r="B25" s="1" t="s">
        <v>3</v>
      </c>
      <c r="C25" s="251" t="s">
        <v>94</v>
      </c>
      <c r="D25" s="252"/>
      <c r="E25" s="253"/>
      <c r="F25" s="10">
        <f>PERC_ADIC_PERIC%*SALARIO_BASE</f>
        <v>420.32</v>
      </c>
    </row>
    <row r="26" spans="2:6" x14ac:dyDescent="0.4">
      <c r="B26" s="1" t="s">
        <v>4</v>
      </c>
      <c r="C26" s="305" t="str">
        <f>OUTROS_REMUNERACAO_1_DESCRICAO</f>
        <v>DSR - Adicional noturno - 1/6</v>
      </c>
      <c r="D26" s="306"/>
      <c r="E26" s="307"/>
      <c r="F26" s="57">
        <v>0</v>
      </c>
    </row>
    <row r="27" spans="2:6" x14ac:dyDescent="0.4">
      <c r="B27" s="1" t="s">
        <v>5</v>
      </c>
      <c r="C27" s="305" t="str">
        <f>OUTROS_REMUNERACAO_2_DESCRICAO</f>
        <v>DSR - Hora noturna reduzida - 1/6</v>
      </c>
      <c r="D27" s="306"/>
      <c r="E27" s="307"/>
      <c r="F27" s="10">
        <f>OUTROS_REMUNERACAO_2</f>
        <v>0</v>
      </c>
    </row>
    <row r="28" spans="2:6" x14ac:dyDescent="0.4">
      <c r="B28" s="268" t="s">
        <v>46</v>
      </c>
      <c r="C28" s="269"/>
      <c r="D28" s="269"/>
      <c r="E28" s="270"/>
      <c r="F28" s="40">
        <f>SUM(F24:F27)</f>
        <v>1821.39</v>
      </c>
    </row>
    <row r="29" spans="2:6" x14ac:dyDescent="0.4">
      <c r="B29" s="51" t="s">
        <v>65</v>
      </c>
      <c r="E29" s="21"/>
      <c r="F29" s="21"/>
    </row>
    <row r="30" spans="2:6" x14ac:dyDescent="0.4">
      <c r="B30" s="51" t="s">
        <v>110</v>
      </c>
      <c r="C30" s="12"/>
      <c r="D30" s="22"/>
      <c r="E30" s="20"/>
      <c r="F30" s="20"/>
    </row>
    <row r="31" spans="2:6" x14ac:dyDescent="0.4">
      <c r="B31" s="1" t="s">
        <v>66</v>
      </c>
      <c r="C31" s="268" t="s">
        <v>93</v>
      </c>
      <c r="D31" s="270"/>
      <c r="E31" s="4" t="s">
        <v>1</v>
      </c>
      <c r="F31" s="4" t="s">
        <v>13</v>
      </c>
    </row>
    <row r="32" spans="2:6" x14ac:dyDescent="0.4">
      <c r="B32" s="1" t="s">
        <v>2</v>
      </c>
      <c r="C32" s="275" t="s">
        <v>47</v>
      </c>
      <c r="D32" s="276"/>
      <c r="E32" s="59">
        <f>PERC_DEC_TERC</f>
        <v>8.33</v>
      </c>
      <c r="F32" s="58">
        <f>PERC_DEC_TERC%*MOD_1_REMUNERACAO_12X36_DIU</f>
        <v>151.72</v>
      </c>
    </row>
    <row r="33" spans="2:8" s="17" customFormat="1" x14ac:dyDescent="0.4">
      <c r="B33" s="2" t="s">
        <v>3</v>
      </c>
      <c r="C33" s="251" t="s">
        <v>95</v>
      </c>
      <c r="D33" s="253"/>
      <c r="E33" s="38">
        <f>PERC_ADIC_FERIAS</f>
        <v>2.78</v>
      </c>
      <c r="F33" s="36">
        <f>PERC_ADIC_FERIAS%*MOD_1_REMUNERACAO_12X36_DIU</f>
        <v>50.63</v>
      </c>
    </row>
    <row r="34" spans="2:8" s="107" customFormat="1" x14ac:dyDescent="0.4">
      <c r="B34" s="268" t="s">
        <v>46</v>
      </c>
      <c r="C34" s="269"/>
      <c r="D34" s="269"/>
      <c r="E34" s="270"/>
      <c r="F34" s="41">
        <f>SUM(F32:F33)</f>
        <v>202.35</v>
      </c>
    </row>
    <row r="35" spans="2:8" s="107" customFormat="1" ht="31.5" customHeight="1" x14ac:dyDescent="0.4">
      <c r="B35" s="308" t="s">
        <v>68</v>
      </c>
      <c r="C35" s="308"/>
      <c r="D35" s="308"/>
      <c r="E35" s="308"/>
      <c r="F35" s="308"/>
    </row>
    <row r="36" spans="2:8" s="107" customFormat="1" ht="34.5" customHeight="1" x14ac:dyDescent="0.4">
      <c r="B36" s="1" t="s">
        <v>69</v>
      </c>
      <c r="C36" s="309" t="s">
        <v>96</v>
      </c>
      <c r="D36" s="310"/>
      <c r="E36" s="4" t="s">
        <v>1</v>
      </c>
      <c r="F36" s="4" t="s">
        <v>13</v>
      </c>
    </row>
    <row r="37" spans="2:8" x14ac:dyDescent="0.4">
      <c r="B37" s="1" t="s">
        <v>2</v>
      </c>
      <c r="C37" s="275" t="s">
        <v>41</v>
      </c>
      <c r="D37" s="276"/>
      <c r="E37" s="59">
        <f>PERC_INSS</f>
        <v>20</v>
      </c>
      <c r="F37" s="58">
        <f>PERC_INSS%*(MOD_1_REMUNERACAO_12X36_DIU+SUBMOD_2_1_DEC_TERC_ADIC_FERIAS_12X36_DIU)</f>
        <v>404.75</v>
      </c>
    </row>
    <row r="38" spans="2:8" s="98" customFormat="1" x14ac:dyDescent="0.4">
      <c r="B38" s="2" t="s">
        <v>3</v>
      </c>
      <c r="C38" s="251" t="s">
        <v>43</v>
      </c>
      <c r="D38" s="253"/>
      <c r="E38" s="46">
        <f>PERC_SAL_EDUCACAO</f>
        <v>2.5</v>
      </c>
      <c r="F38" s="36">
        <f>PERC_SAL_EDUCACAO%*(MOD_1_REMUNERACAO_12X36_DIU+SUBMOD_2_1_DEC_TERC_ADIC_FERIAS_12X36_DIU)</f>
        <v>50.59</v>
      </c>
      <c r="G38" s="13"/>
      <c r="H38" s="13"/>
    </row>
    <row r="39" spans="2:8" s="98" customFormat="1" x14ac:dyDescent="0.4">
      <c r="B39" s="2" t="s">
        <v>4</v>
      </c>
      <c r="C39" s="275" t="s">
        <v>236</v>
      </c>
      <c r="D39" s="276"/>
      <c r="E39" s="59">
        <f>PERC_RAT</f>
        <v>6</v>
      </c>
      <c r="F39" s="58">
        <f>PERC_RAT%*(MOD_1_REMUNERACAO_12X36_DIU+SUBMOD_2_1_DEC_TERC_ADIC_FERIAS_12X36_DIU)</f>
        <v>121.42</v>
      </c>
      <c r="G39" s="13"/>
      <c r="H39" s="13"/>
    </row>
    <row r="40" spans="2:8" s="98" customFormat="1" x14ac:dyDescent="0.4">
      <c r="B40" s="2" t="s">
        <v>5</v>
      </c>
      <c r="C40" s="251" t="s">
        <v>88</v>
      </c>
      <c r="D40" s="253"/>
      <c r="E40" s="38">
        <f>PERC_SESC</f>
        <v>1.5</v>
      </c>
      <c r="F40" s="36">
        <f>PERC_SESC%*(MOD_1_REMUNERACAO_12X36_DIU+SUBMOD_2_1_DEC_TERC_ADIC_FERIAS_12X36_DIU)</f>
        <v>30.36</v>
      </c>
      <c r="G40" s="13"/>
      <c r="H40" s="13"/>
    </row>
    <row r="41" spans="2:8" s="98" customFormat="1" x14ac:dyDescent="0.4">
      <c r="B41" s="2" t="s">
        <v>6</v>
      </c>
      <c r="C41" s="275" t="s">
        <v>89</v>
      </c>
      <c r="D41" s="276"/>
      <c r="E41" s="59">
        <f>PERC_SENAC</f>
        <v>1</v>
      </c>
      <c r="F41" s="58">
        <f>PERC_SENAC%*(MOD_1_REMUNERACAO_12X36_DIU+SUBMOD_2_1_DEC_TERC_ADIC_FERIAS_12X36_DIU)</f>
        <v>20.239999999999998</v>
      </c>
      <c r="G41" s="13"/>
      <c r="H41" s="13"/>
    </row>
    <row r="42" spans="2:8" s="99" customFormat="1" x14ac:dyDescent="0.4">
      <c r="B42" s="2" t="s">
        <v>7</v>
      </c>
      <c r="C42" s="251" t="s">
        <v>45</v>
      </c>
      <c r="D42" s="253"/>
      <c r="E42" s="46">
        <f>PERC_SEBRAE</f>
        <v>0.6</v>
      </c>
      <c r="F42" s="36">
        <f>PERC_SEBRAE%*(MOD_1_REMUNERACAO_12X36_DIU+SUBMOD_2_1_DEC_TERC_ADIC_FERIAS_12X36_DIU)</f>
        <v>12.14</v>
      </c>
      <c r="G42" s="13"/>
      <c r="H42" s="13"/>
    </row>
    <row r="43" spans="2:8" s="99" customFormat="1" x14ac:dyDescent="0.4">
      <c r="B43" s="2" t="s">
        <v>10</v>
      </c>
      <c r="C43" s="275" t="s">
        <v>42</v>
      </c>
      <c r="D43" s="276"/>
      <c r="E43" s="59">
        <f>PERC_INCRA</f>
        <v>0.2</v>
      </c>
      <c r="F43" s="58">
        <f>PERC_INCRA%*(MOD_1_REMUNERACAO_12X36_DIU+SUBMOD_2_1_DEC_TERC_ADIC_FERIAS_12X36_DIU)</f>
        <v>4.05</v>
      </c>
      <c r="G43" s="13"/>
      <c r="H43" s="13"/>
    </row>
    <row r="44" spans="2:8" x14ac:dyDescent="0.4">
      <c r="B44" s="2" t="s">
        <v>11</v>
      </c>
      <c r="C44" s="251" t="s">
        <v>44</v>
      </c>
      <c r="D44" s="253"/>
      <c r="E44" s="46">
        <f>PERC_FGTS</f>
        <v>8</v>
      </c>
      <c r="F44" s="36">
        <f>PERC_FGTS%*(MOD_1_REMUNERACAO_12X36_DIU+SUBMOD_2_1_DEC_TERC_ADIC_FERIAS_12X36_DIU)</f>
        <v>161.9</v>
      </c>
    </row>
    <row r="45" spans="2:8" x14ac:dyDescent="0.4">
      <c r="B45" s="268" t="s">
        <v>46</v>
      </c>
      <c r="C45" s="269"/>
      <c r="D45" s="269"/>
      <c r="E45" s="270"/>
      <c r="F45" s="42">
        <f>SUM(F37:F44)</f>
        <v>805.45</v>
      </c>
    </row>
    <row r="46" spans="2:8" ht="15.75" customHeight="1" x14ac:dyDescent="0.4">
      <c r="B46" s="51" t="s">
        <v>71</v>
      </c>
      <c r="C46" s="99"/>
      <c r="D46" s="99"/>
      <c r="E46" s="99"/>
      <c r="F46" s="99"/>
    </row>
    <row r="47" spans="2:8" ht="15.75" customHeight="1" x14ac:dyDescent="0.4">
      <c r="B47" s="1" t="s">
        <v>90</v>
      </c>
      <c r="C47" s="268" t="s">
        <v>14</v>
      </c>
      <c r="D47" s="269"/>
      <c r="E47" s="270"/>
      <c r="F47" s="4" t="s">
        <v>13</v>
      </c>
    </row>
    <row r="48" spans="2:8" x14ac:dyDescent="0.4">
      <c r="B48" s="25" t="s">
        <v>2</v>
      </c>
      <c r="C48" s="275" t="s">
        <v>15</v>
      </c>
      <c r="D48" s="276"/>
      <c r="E48" s="277"/>
      <c r="F48" s="58">
        <f>IF((((3*2)*DIAS_TRABALHADOS_NO_MES_12X36)-(PERC_DESC_TRANSP_REMUNERACAO%*(AL_1_A_SAL_BASE_12X36_DIU/2)))&gt;0,(((3*2)*DIAS_TRABALHADOS_NO_MES_12X36)-(PERC_DESC_TRANSP_REMUNERACAO%*(AL_1_A_SAL_BASE_12X36_DIU/2))),0)</f>
        <v>47.97</v>
      </c>
      <c r="G48" s="145"/>
    </row>
    <row r="49" spans="2:7" s="107" customFormat="1" x14ac:dyDescent="0.4">
      <c r="B49" s="25" t="s">
        <v>3</v>
      </c>
      <c r="C49" s="251" t="s">
        <v>70</v>
      </c>
      <c r="D49" s="252"/>
      <c r="E49" s="253"/>
      <c r="F49" s="36">
        <f>ALIMENTACAO_POR_DIA*DIAS_TRABALHADOS_NO_MES_12X36*0.99</f>
        <v>386.1</v>
      </c>
      <c r="G49" s="13"/>
    </row>
    <row r="50" spans="2:7" s="107" customFormat="1" x14ac:dyDescent="0.4">
      <c r="B50" s="25" t="s">
        <v>4</v>
      </c>
      <c r="C50" s="275" t="str">
        <f>OUTROS_BENEFICIOS_1_DESCRICAO</f>
        <v>Auxílio saúde</v>
      </c>
      <c r="D50" s="276"/>
      <c r="E50" s="277"/>
      <c r="F50" s="58"/>
      <c r="G50" s="13"/>
    </row>
    <row r="51" spans="2:7" s="107" customFormat="1" x14ac:dyDescent="0.4">
      <c r="B51" s="25" t="s">
        <v>5</v>
      </c>
      <c r="C51" s="305" t="str">
        <f>OUTROS_BENEFICIOS_2_DESCRICAO</f>
        <v>Auxílio morte/funeral</v>
      </c>
      <c r="D51" s="306"/>
      <c r="E51" s="307"/>
      <c r="F51" s="36"/>
      <c r="G51" s="13"/>
    </row>
    <row r="52" spans="2:7" s="107" customFormat="1" x14ac:dyDescent="0.4">
      <c r="B52" s="25" t="s">
        <v>6</v>
      </c>
      <c r="C52" s="275" t="str">
        <f>OUTROS_BENEFICIOS_3_DESCRICAO</f>
        <v>Seguro de vida</v>
      </c>
      <c r="D52" s="276"/>
      <c r="E52" s="277"/>
      <c r="F52" s="58"/>
    </row>
    <row r="53" spans="2:7" s="107" customFormat="1" ht="15" customHeight="1" x14ac:dyDescent="0.4">
      <c r="B53" s="268" t="s">
        <v>46</v>
      </c>
      <c r="C53" s="269"/>
      <c r="D53" s="269"/>
      <c r="E53" s="270"/>
      <c r="F53" s="40">
        <f>SUM(F48:F52)</f>
        <v>434.07</v>
      </c>
    </row>
    <row r="54" spans="2:7" s="107" customFormat="1" x14ac:dyDescent="0.4">
      <c r="B54" s="51" t="s">
        <v>72</v>
      </c>
      <c r="C54" s="12"/>
      <c r="D54" s="22"/>
      <c r="E54" s="20"/>
      <c r="F54" s="20"/>
    </row>
    <row r="55" spans="2:7" s="107" customFormat="1" ht="15" customHeight="1" x14ac:dyDescent="0.4">
      <c r="B55" s="1">
        <v>3</v>
      </c>
      <c r="C55" s="260" t="s">
        <v>48</v>
      </c>
      <c r="D55" s="260"/>
      <c r="E55" s="4" t="s">
        <v>1</v>
      </c>
      <c r="F55" s="4" t="s">
        <v>13</v>
      </c>
    </row>
    <row r="56" spans="2:7" s="107" customFormat="1" x14ac:dyDescent="0.4">
      <c r="B56" s="1" t="s">
        <v>2</v>
      </c>
      <c r="C56" s="301" t="s">
        <v>49</v>
      </c>
      <c r="D56" s="301"/>
      <c r="E56" s="59">
        <f>PERC_AVISO_PREVIO_IND</f>
        <v>0.28999999999999998</v>
      </c>
      <c r="F56" s="58">
        <f>PERC_AVISO_PREVIO_IND%*(MOD_1_REMUNERACAO_12X36_DIU+SUBMOD_2_1_DEC_TERC_ADIC_FERIAS_12X36_DIU+AL_2_2_FGTS_12X36_DIU+SUBMOD_2_3_BENEFICIOS_12X36_DIU)</f>
        <v>7.6</v>
      </c>
    </row>
    <row r="57" spans="2:7" s="107" customFormat="1" x14ac:dyDescent="0.4">
      <c r="B57" s="2" t="s">
        <v>3</v>
      </c>
      <c r="C57" s="303" t="s">
        <v>50</v>
      </c>
      <c r="D57" s="303"/>
      <c r="E57" s="46">
        <f>PERC_AVISO_PREVIO_TRAB</f>
        <v>1.1599999999999999</v>
      </c>
      <c r="F57" s="36">
        <f>PERC_AVISO_PREVIO_TRAB%*(MOD_1_REMUNERACAO_12X36_DIU+SUBMOD_2_1_DEC_TERC_ADIC_FERIAS_12X36_DIU+SUBMOD_2_2_GPS_FGTS_12X36_DIU+SUBMOD_2_3_BENEFICIOS_12X36_DIU)</f>
        <v>37.85</v>
      </c>
    </row>
    <row r="58" spans="2:7" s="98" customFormat="1" x14ac:dyDescent="0.25">
      <c r="B58" s="2" t="s">
        <v>4</v>
      </c>
      <c r="C58" s="301" t="s">
        <v>232</v>
      </c>
      <c r="D58" s="301"/>
      <c r="E58" s="59">
        <f>PERC_MULTA_FGTS_AV_PREV_TRAB</f>
        <v>0.04</v>
      </c>
      <c r="F58" s="58">
        <f>PERC_MULTA_FGTS_AV_PREV_TRAB%*(MOD_1_REMUNERACAO_12X36_DIU+SUBMOD_2_1_DEC_TERC_ADIC_FERIAS_12X36_DIU)</f>
        <v>0.81</v>
      </c>
    </row>
    <row r="59" spans="2:7" s="98" customFormat="1" x14ac:dyDescent="0.4">
      <c r="B59" s="268" t="s">
        <v>46</v>
      </c>
      <c r="C59" s="269"/>
      <c r="D59" s="269"/>
      <c r="E59" s="270"/>
      <c r="F59" s="41">
        <f>SUM(F56:F58)</f>
        <v>46.26</v>
      </c>
    </row>
    <row r="60" spans="2:7" ht="7.5" customHeight="1" x14ac:dyDescent="0.4">
      <c r="B60" s="16"/>
      <c r="C60" s="17"/>
      <c r="D60" s="18"/>
      <c r="E60" s="14"/>
      <c r="F60" s="14"/>
    </row>
    <row r="61" spans="2:7" s="98" customFormat="1" ht="15.9" customHeight="1" x14ac:dyDescent="0.4">
      <c r="B61" s="51" t="s">
        <v>73</v>
      </c>
      <c r="C61" s="12"/>
      <c r="D61" s="22"/>
      <c r="E61" s="13"/>
      <c r="F61" s="13"/>
    </row>
    <row r="62" spans="2:7" s="98" customFormat="1" ht="15.9" customHeight="1" x14ac:dyDescent="0.4">
      <c r="B62" s="51" t="s">
        <v>102</v>
      </c>
      <c r="C62" s="12"/>
      <c r="D62" s="22"/>
      <c r="E62" s="20"/>
      <c r="F62" s="20"/>
    </row>
    <row r="63" spans="2:7" s="98" customFormat="1" x14ac:dyDescent="0.25">
      <c r="B63" s="1" t="s">
        <v>18</v>
      </c>
      <c r="C63" s="302" t="s">
        <v>103</v>
      </c>
      <c r="D63" s="302"/>
      <c r="E63" s="4" t="s">
        <v>1</v>
      </c>
      <c r="F63" s="4" t="s">
        <v>13</v>
      </c>
    </row>
    <row r="64" spans="2:7" s="98" customFormat="1" ht="15.9" customHeight="1" x14ac:dyDescent="0.25">
      <c r="B64" s="2" t="s">
        <v>2</v>
      </c>
      <c r="C64" s="298" t="s">
        <v>104</v>
      </c>
      <c r="D64" s="298"/>
      <c r="E64" s="59">
        <f>PERC_SUBSTITUTO_FERIAS</f>
        <v>8.33</v>
      </c>
      <c r="F64" s="58">
        <f>PERC_SUBSTITUTO_FERIAS%*(MOD_1_REMUNERACAO_12X36_DIU+MOD_2_ENCARGOS_BENEFICIOS_12X36_DIU+MOD_3_PROVISAO_RESCISAO_12X36_DIU)</f>
        <v>275.68</v>
      </c>
    </row>
    <row r="65" spans="2:7" s="98" customFormat="1" ht="15.9" customHeight="1" x14ac:dyDescent="0.25">
      <c r="B65" s="2" t="s">
        <v>3</v>
      </c>
      <c r="C65" s="300" t="s">
        <v>105</v>
      </c>
      <c r="D65" s="300"/>
      <c r="E65" s="46">
        <f>PERC_SUBSTITUTO_AUSENCIAS_LEGAIS</f>
        <v>2.2200000000000002</v>
      </c>
      <c r="F65" s="36">
        <f>PERC_SUBSTITUTO_AUSENCIAS_LEGAIS%*(MOD_1_REMUNERACAO_12X36_DIU+MOD_2_ENCARGOS_BENEFICIOS_12X36_DIU+MOD_3_PROVISAO_RESCISAO_12X36_DIU)</f>
        <v>73.47</v>
      </c>
    </row>
    <row r="66" spans="2:7" s="98" customFormat="1" ht="15.9" customHeight="1" x14ac:dyDescent="0.25">
      <c r="B66" s="2" t="s">
        <v>4</v>
      </c>
      <c r="C66" s="298" t="s">
        <v>106</v>
      </c>
      <c r="D66" s="298"/>
      <c r="E66" s="59">
        <f>PERC_SUBSTITUTO_LICENCA_PATERNIDADE</f>
        <v>7.0000000000000007E-2</v>
      </c>
      <c r="F66" s="58">
        <f>PERC_SUBSTITUTO_LICENCA_PATERNIDADE%*(MOD_1_REMUNERACAO_12X36_DIU+MOD_2_ENCARGOS_BENEFICIOS_12X36_DIU+MOD_3_PROVISAO_RESCISAO_12X36_DIU)</f>
        <v>2.3199999999999998</v>
      </c>
    </row>
    <row r="67" spans="2:7" s="98" customFormat="1" x14ac:dyDescent="0.25">
      <c r="B67" s="2" t="s">
        <v>5</v>
      </c>
      <c r="C67" s="300" t="s">
        <v>107</v>
      </c>
      <c r="D67" s="300"/>
      <c r="E67" s="46">
        <f>PERC_SUBSTITUTO_ACID_TRAB</f>
        <v>0.02</v>
      </c>
      <c r="F67" s="36">
        <f>PERC_SUBSTITUTO_ACID_TRAB%*(MOD_1_REMUNERACAO_12X36_DIU+MOD_2_ENCARGOS_BENEFICIOS_12X36_DIU+MOD_3_PROVISAO_RESCISAO_12X36_DIU)</f>
        <v>0.66</v>
      </c>
    </row>
    <row r="68" spans="2:7" s="98" customFormat="1" x14ac:dyDescent="0.25">
      <c r="B68" s="2" t="s">
        <v>6</v>
      </c>
      <c r="C68" s="298" t="s">
        <v>108</v>
      </c>
      <c r="D68" s="298"/>
      <c r="E68" s="59">
        <f>PERC_SUBSTITUTO_AFAST_MATERN</f>
        <v>0.04</v>
      </c>
      <c r="F68" s="58">
        <f>PERC_SUBSTITUTO_AFAST_MATERN%*(MOD_1_REMUNERACAO_12X36_DIU+MOD_2_ENCARGOS_BENEFICIOS_12X36_DIU+MOD_3_PROVISAO_RESCISAO_12X36_DIU)</f>
        <v>1.32</v>
      </c>
    </row>
    <row r="69" spans="2:7" s="98" customFormat="1" x14ac:dyDescent="0.25">
      <c r="B69" s="2" t="s">
        <v>7</v>
      </c>
      <c r="C69" s="325" t="str">
        <f>OUTRAS_AUSENCIAS_DESCRICAO</f>
        <v>Outras Ausências (Especificar - em %)</v>
      </c>
      <c r="D69" s="300"/>
      <c r="E69" s="53">
        <f>PERC_SUBSTITUTO_OUTRAS_AUSENCIAS</f>
        <v>0</v>
      </c>
      <c r="F69" s="36">
        <f>PERC_SUBSTITUTO_OUTRAS_AUSENCIAS%*(MOD_1_REMUNERACAO_12X36_DIU+MOD_2_ENCARGOS_BENEFICIOS_12X36_DIU+MOD_3_PROVISAO_RESCISAO_12X36_DIU)</f>
        <v>0</v>
      </c>
    </row>
    <row r="70" spans="2:7" s="98" customFormat="1" x14ac:dyDescent="0.4">
      <c r="B70" s="268" t="s">
        <v>46</v>
      </c>
      <c r="C70" s="269"/>
      <c r="D70" s="269"/>
      <c r="E70" s="270"/>
      <c r="F70" s="41">
        <f>SUM(F64:F69)</f>
        <v>353.45</v>
      </c>
    </row>
    <row r="71" spans="2:7" s="98" customFormat="1" ht="15" customHeight="1" x14ac:dyDescent="0.4">
      <c r="B71" s="51" t="s">
        <v>226</v>
      </c>
      <c r="C71" s="12"/>
      <c r="D71" s="22"/>
      <c r="E71" s="20"/>
      <c r="F71" s="20"/>
    </row>
    <row r="72" spans="2:7" s="98" customFormat="1" x14ac:dyDescent="0.25">
      <c r="B72" s="1" t="s">
        <v>19</v>
      </c>
      <c r="C72" s="260" t="s">
        <v>225</v>
      </c>
      <c r="D72" s="260"/>
      <c r="E72" s="260"/>
      <c r="F72" s="4" t="s">
        <v>13</v>
      </c>
    </row>
    <row r="73" spans="2:7" s="98" customFormat="1" x14ac:dyDescent="0.25">
      <c r="B73" s="1" t="s">
        <v>2</v>
      </c>
      <c r="C73" s="298" t="s">
        <v>109</v>
      </c>
      <c r="D73" s="298"/>
      <c r="E73" s="298"/>
      <c r="F73" s="57">
        <f>((MOD_1_REMUNERACAO_12X36_DIU+MOD_2_ENCARGOS_BENEFICIOS_12X36_DIU+MOD_3_PROVISAO_RESCISAO_12X36_DIU)/DIVISOR_DE_HORAS)*((TEMPO_INTERVALO_REFEICAO/HORA_NORMAL))*DIAS_TRABALHADOS_NO_MES_12X36</f>
        <v>225.65</v>
      </c>
      <c r="G73" s="140"/>
    </row>
    <row r="74" spans="2:7" s="98" customFormat="1" x14ac:dyDescent="0.4">
      <c r="B74" s="260" t="s">
        <v>46</v>
      </c>
      <c r="C74" s="260"/>
      <c r="D74" s="260"/>
      <c r="E74" s="260"/>
      <c r="F74" s="41">
        <f>SUM(F73)</f>
        <v>225.65</v>
      </c>
    </row>
    <row r="75" spans="2:7" ht="7.5" customHeight="1" x14ac:dyDescent="0.4">
      <c r="B75" s="16"/>
      <c r="C75" s="17"/>
      <c r="D75" s="18"/>
      <c r="E75" s="14"/>
      <c r="F75" s="14"/>
    </row>
    <row r="76" spans="2:7" x14ac:dyDescent="0.4">
      <c r="B76" s="51" t="s">
        <v>77</v>
      </c>
      <c r="C76" s="12"/>
      <c r="D76" s="12"/>
      <c r="E76" s="20"/>
      <c r="F76" s="20"/>
    </row>
    <row r="77" spans="2:7" ht="15.75" customHeight="1" x14ac:dyDescent="0.4">
      <c r="B77" s="49">
        <v>5</v>
      </c>
      <c r="C77" s="271" t="s">
        <v>0</v>
      </c>
      <c r="D77" s="271"/>
      <c r="E77" s="271"/>
      <c r="F77" s="50" t="s">
        <v>13</v>
      </c>
    </row>
    <row r="78" spans="2:7" x14ac:dyDescent="0.4">
      <c r="B78" s="44" t="s">
        <v>2</v>
      </c>
      <c r="C78" s="272" t="s">
        <v>16</v>
      </c>
      <c r="D78" s="272"/>
      <c r="E78" s="272"/>
      <c r="F78" s="60">
        <f>UNIFORMES</f>
        <v>244.71</v>
      </c>
    </row>
    <row r="79" spans="2:7" x14ac:dyDescent="0.4">
      <c r="B79" s="44" t="s">
        <v>3</v>
      </c>
      <c r="C79" s="273" t="s">
        <v>285</v>
      </c>
      <c r="D79" s="273"/>
      <c r="E79" s="273"/>
      <c r="F79" s="47">
        <f>MATERIAIS</f>
        <v>77.400000000000006</v>
      </c>
    </row>
    <row r="80" spans="2:7" x14ac:dyDescent="0.4">
      <c r="B80" s="44" t="s">
        <v>4</v>
      </c>
      <c r="C80" s="272" t="s">
        <v>286</v>
      </c>
      <c r="D80" s="272"/>
      <c r="E80" s="272"/>
      <c r="F80" s="60">
        <f>EQUIPAMENTOS</f>
        <v>8.09</v>
      </c>
    </row>
    <row r="81" spans="2:8" x14ac:dyDescent="0.4">
      <c r="B81" s="44" t="s">
        <v>5</v>
      </c>
      <c r="C81" s="324" t="str">
        <f>OUTROS_INSUMOS_DESCRICAO</f>
        <v>Outros (Especificar)</v>
      </c>
      <c r="D81" s="273"/>
      <c r="E81" s="273"/>
      <c r="F81" s="47">
        <f>OUTROS_INSUMOS</f>
        <v>0</v>
      </c>
    </row>
    <row r="82" spans="2:8" x14ac:dyDescent="0.4">
      <c r="B82" s="328" t="s">
        <v>46</v>
      </c>
      <c r="C82" s="328"/>
      <c r="D82" s="328"/>
      <c r="E82" s="328"/>
      <c r="F82" s="43">
        <f>SUM(F78:F81)</f>
        <v>330.2</v>
      </c>
    </row>
    <row r="83" spans="2:8" ht="7.5" customHeight="1" x14ac:dyDescent="0.4">
      <c r="B83" s="16"/>
      <c r="C83" s="17"/>
      <c r="D83" s="18"/>
      <c r="E83" s="14"/>
      <c r="F83" s="14"/>
    </row>
    <row r="84" spans="2:8" ht="15" customHeight="1" x14ac:dyDescent="0.4">
      <c r="B84" s="264" t="s">
        <v>76</v>
      </c>
      <c r="C84" s="264"/>
      <c r="D84" s="264"/>
      <c r="E84" s="264"/>
      <c r="F84" s="264"/>
    </row>
    <row r="85" spans="2:8" x14ac:dyDescent="0.4">
      <c r="B85" s="1">
        <v>6</v>
      </c>
      <c r="C85" s="260" t="s">
        <v>20</v>
      </c>
      <c r="D85" s="260"/>
      <c r="E85" s="4" t="s">
        <v>1</v>
      </c>
      <c r="F85" s="4" t="s">
        <v>13</v>
      </c>
    </row>
    <row r="86" spans="2:8" x14ac:dyDescent="0.4">
      <c r="B86" s="1" t="s">
        <v>2</v>
      </c>
      <c r="C86" s="298" t="s">
        <v>78</v>
      </c>
      <c r="D86" s="298"/>
      <c r="E86" s="61">
        <f>PERC_CUSTOS_INDIRETOS</f>
        <v>4.8499999999999996</v>
      </c>
      <c r="F86" s="58">
        <f>PERC_CUSTOS_INDIRETOS%*(MOD_1_REMUNERACAO_12X36_DIU+MOD_2_ENCARGOS_BENEFICIOS_12X36_DIU+MOD_3_PROVISAO_RESCISAO_12X36_DIU+MOD_4_CUSTO_REPOSICAO_12X36_DIU+MOD_5_INSUMOS_12X36_DIU)</f>
        <v>204.61</v>
      </c>
    </row>
    <row r="87" spans="2:8" ht="15.75" customHeight="1" x14ac:dyDescent="0.4">
      <c r="B87" s="2" t="s">
        <v>3</v>
      </c>
      <c r="C87" s="300" t="s">
        <v>32</v>
      </c>
      <c r="D87" s="300"/>
      <c r="E87" s="48">
        <f>PERC_LUCRO</f>
        <v>5.45</v>
      </c>
      <c r="F87" s="36">
        <f>PERC_LUCRO%*(MOD_1_REMUNERACAO_12X36_DIU+MOD_2_ENCARGOS_BENEFICIOS_12X36_DIU+MOD_3_PROVISAO_RESCISAO_12X36_DIU+MOD_4_CUSTO_REPOSICAO_12X36_DIU+MOD_5_INSUMOS_12X36_DIU+AL_6_A_CUSTOS_INDIRETOS_12X36_DIU)</f>
        <v>241.08</v>
      </c>
    </row>
    <row r="88" spans="2:8" x14ac:dyDescent="0.4">
      <c r="B88" s="2" t="s">
        <v>4</v>
      </c>
      <c r="C88" s="298" t="s">
        <v>21</v>
      </c>
      <c r="D88" s="298"/>
      <c r="E88" s="61">
        <f>SUM(E89:E91)</f>
        <v>8.65</v>
      </c>
      <c r="F88" s="58">
        <f>SUM(F89:F91)</f>
        <v>441.69</v>
      </c>
    </row>
    <row r="89" spans="2:8" ht="15.75" customHeight="1" x14ac:dyDescent="0.4">
      <c r="B89" s="30" t="s">
        <v>79</v>
      </c>
      <c r="C89" s="326" t="s">
        <v>23</v>
      </c>
      <c r="D89" s="326"/>
      <c r="E89" s="31">
        <f>PERC_PIS</f>
        <v>0.65</v>
      </c>
      <c r="F89" s="63">
        <f>((MOD_1_REMUNERACAO_12X36_DIU+MOD_2_ENCARGOS_BENEFICIOS_12X36_DIU+MOD_3_PROVISAO_RESCISAO_12X36_DIU+MOD_4_CUSTO_REPOSICAO_12X36_DIU+MOD_5_INSUMOS_12X36_DIU+AL_6_A_CUSTOS_INDIRETOS_12X36_DIU+AL_6_B_LUCRO_12X36_DIU)*PERC_PIS%)/(1-PERC_TRIBUTOS%)</f>
        <v>33.19</v>
      </c>
    </row>
    <row r="90" spans="2:8" x14ac:dyDescent="0.4">
      <c r="B90" s="30" t="s">
        <v>80</v>
      </c>
      <c r="C90" s="327" t="s">
        <v>24</v>
      </c>
      <c r="D90" s="327"/>
      <c r="E90" s="62">
        <f>PERC_COFINS</f>
        <v>3</v>
      </c>
      <c r="F90" s="64">
        <f>((MOD_1_REMUNERACAO_12X36_DIU+MOD_2_ENCARGOS_BENEFICIOS_12X36_DIU+MOD_3_PROVISAO_RESCISAO_12X36_DIU+MOD_4_CUSTO_REPOSICAO_12X36_DIU+MOD_5_INSUMOS_12X36_DIU+AL_6_A_CUSTOS_INDIRETOS_12X36_DIU+AL_6_B_LUCRO_12X36_DIU)*PERC_COFINS%)/(1-PERC_TRIBUTOS%)</f>
        <v>153.19</v>
      </c>
    </row>
    <row r="91" spans="2:8" s="108" customFormat="1" x14ac:dyDescent="0.4">
      <c r="B91" s="30" t="s">
        <v>81</v>
      </c>
      <c r="C91" s="326" t="s">
        <v>25</v>
      </c>
      <c r="D91" s="326"/>
      <c r="E91" s="31">
        <f>PERC_ISS</f>
        <v>5</v>
      </c>
      <c r="F91" s="63">
        <f>((MOD_1_REMUNERACAO_12X36_DIU+MOD_2_ENCARGOS_BENEFICIOS_12X36_DIU+MOD_3_PROVISAO_RESCISAO_12X36_DIU+MOD_4_CUSTO_REPOSICAO_12X36_DIU+MOD_5_INSUMOS_12X36_DIU+AL_6_A_CUSTOS_INDIRETOS_12X36_DIU+AL_6_B_LUCRO_12X36_DIU)*PERC_ISS%)/(1-PERC_TRIBUTOS%)</f>
        <v>255.31</v>
      </c>
      <c r="H91" s="13"/>
    </row>
    <row r="92" spans="2:8" s="108" customFormat="1" x14ac:dyDescent="0.4">
      <c r="B92" s="268" t="s">
        <v>46</v>
      </c>
      <c r="C92" s="269"/>
      <c r="D92" s="269"/>
      <c r="E92" s="270"/>
      <c r="F92" s="37">
        <f>AL_6_A_CUSTOS_INDIRETOS_12X36_DIU+AL_6_B_LUCRO_12X36_DIU+AL_6_C_TRIBUTOS_12X36_DIU</f>
        <v>887.38</v>
      </c>
    </row>
    <row r="93" spans="2:8" s="108" customFormat="1" x14ac:dyDescent="0.4">
      <c r="B93" s="264" t="s">
        <v>261</v>
      </c>
      <c r="C93" s="264"/>
      <c r="D93" s="264"/>
      <c r="E93" s="264"/>
      <c r="F93" s="264"/>
    </row>
    <row r="94" spans="2:8" s="108" customFormat="1" x14ac:dyDescent="0.4">
      <c r="B94" s="147" t="s">
        <v>2</v>
      </c>
      <c r="C94" s="275" t="str">
        <f>'INSERÇÃO-DE-DADOS'!C85:E85</f>
        <v>Dia do Vigilante - Clausula 82ª CCT - Jornada 12x36 diurno</v>
      </c>
      <c r="D94" s="276"/>
      <c r="E94" s="277"/>
      <c r="F94" s="57">
        <f>'INSERÇÃO-DE-DADOS'!F85</f>
        <v>8.2799999999999994</v>
      </c>
    </row>
    <row r="95" spans="2:8" s="108" customFormat="1" ht="20.399999999999999" x14ac:dyDescent="0.4">
      <c r="B95" s="52" t="s">
        <v>53</v>
      </c>
      <c r="C95" s="15"/>
      <c r="D95" s="15"/>
      <c r="E95" s="15"/>
      <c r="F95" s="23"/>
    </row>
    <row r="96" spans="2:8" s="109" customFormat="1" ht="16.5" customHeight="1" x14ac:dyDescent="0.4">
      <c r="B96" s="2" t="s">
        <v>98</v>
      </c>
      <c r="C96" s="257" t="s">
        <v>99</v>
      </c>
      <c r="D96" s="258"/>
      <c r="E96" s="259"/>
      <c r="F96" s="4" t="s">
        <v>17</v>
      </c>
      <c r="H96" s="128"/>
    </row>
    <row r="97" spans="2:8" s="108" customFormat="1" x14ac:dyDescent="0.4">
      <c r="B97" s="1">
        <v>1</v>
      </c>
      <c r="C97" s="298" t="s">
        <v>9</v>
      </c>
      <c r="D97" s="298"/>
      <c r="E97" s="298"/>
      <c r="F97" s="58">
        <f>MOD_1_REMUNERACAO_12X36_DIU</f>
        <v>1821.39</v>
      </c>
    </row>
    <row r="98" spans="2:8" s="110" customFormat="1" ht="16.5" customHeight="1" x14ac:dyDescent="0.4">
      <c r="B98" s="2">
        <v>2</v>
      </c>
      <c r="C98" s="300" t="s">
        <v>100</v>
      </c>
      <c r="D98" s="300"/>
      <c r="E98" s="300"/>
      <c r="F98" s="36">
        <f>MOD_2_ENCARGOS_BENEFICIOS_12X36_DIU</f>
        <v>1441.87</v>
      </c>
    </row>
    <row r="99" spans="2:8" s="110" customFormat="1" x14ac:dyDescent="0.4">
      <c r="B99" s="2">
        <v>3</v>
      </c>
      <c r="C99" s="298" t="s">
        <v>48</v>
      </c>
      <c r="D99" s="298"/>
      <c r="E99" s="298"/>
      <c r="F99" s="58">
        <f>MOD_3_PROVISAO_RESCISAO_12X36_DIU</f>
        <v>46.26</v>
      </c>
    </row>
    <row r="100" spans="2:8" s="110" customFormat="1" x14ac:dyDescent="0.4">
      <c r="B100" s="2">
        <v>4</v>
      </c>
      <c r="C100" s="300" t="s">
        <v>51</v>
      </c>
      <c r="D100" s="300"/>
      <c r="E100" s="300"/>
      <c r="F100" s="36">
        <f>MOD_4_CUSTO_REPOSICAO_12X36_DIU</f>
        <v>579.1</v>
      </c>
    </row>
    <row r="101" spans="2:8" s="110" customFormat="1" x14ac:dyDescent="0.4">
      <c r="B101" s="2">
        <v>5</v>
      </c>
      <c r="C101" s="298" t="s">
        <v>0</v>
      </c>
      <c r="D101" s="298"/>
      <c r="E101" s="298"/>
      <c r="F101" s="58">
        <f>MOD_5_INSUMOS_12X36_DIU</f>
        <v>330.2</v>
      </c>
    </row>
    <row r="102" spans="2:8" s="110" customFormat="1" x14ac:dyDescent="0.4">
      <c r="B102" s="2">
        <v>6</v>
      </c>
      <c r="C102" s="300" t="s">
        <v>20</v>
      </c>
      <c r="D102" s="300"/>
      <c r="E102" s="300"/>
      <c r="F102" s="36">
        <f>MOD_6_CUSTOS_IND_LUCRO_TRIB_12X36_DIU</f>
        <v>887.38</v>
      </c>
    </row>
    <row r="103" spans="2:8" s="110" customFormat="1" ht="17.25" customHeight="1" x14ac:dyDescent="0.4">
      <c r="B103" s="2">
        <v>7</v>
      </c>
      <c r="C103" s="149" t="str">
        <f>C94</f>
        <v>Dia do Vigilante - Clausula 82ª CCT - Jornada 12x36 diurno</v>
      </c>
      <c r="D103" s="146"/>
      <c r="E103" s="146"/>
      <c r="F103" s="36">
        <f>F94</f>
        <v>8.2799999999999994</v>
      </c>
    </row>
    <row r="104" spans="2:8" ht="16.5" customHeight="1" x14ac:dyDescent="0.4">
      <c r="B104" s="302" t="s">
        <v>101</v>
      </c>
      <c r="C104" s="302"/>
      <c r="D104" s="302"/>
      <c r="E104" s="302"/>
      <c r="F104" s="37">
        <f>SUM(F97:F103)</f>
        <v>5114.4799999999996</v>
      </c>
      <c r="H104" s="129"/>
    </row>
    <row r="105" spans="2:8" ht="16.5" customHeight="1" x14ac:dyDescent="0.4">
      <c r="B105" s="302" t="s">
        <v>30</v>
      </c>
      <c r="C105" s="302"/>
      <c r="D105" s="302"/>
      <c r="E105" s="302"/>
      <c r="F105" s="37">
        <f>VALOR_TOTAL_EMPREGADO_12x36_DIU*EMPREG_POR_POSTO_12X36_DIU</f>
        <v>10228.959999999999</v>
      </c>
    </row>
  </sheetData>
  <mergeCells count="91">
    <mergeCell ref="B105:E105"/>
    <mergeCell ref="C90:D90"/>
    <mergeCell ref="C91:D91"/>
    <mergeCell ref="B92:E92"/>
    <mergeCell ref="C96:E96"/>
    <mergeCell ref="C97:E97"/>
    <mergeCell ref="C98:E98"/>
    <mergeCell ref="C99:E99"/>
    <mergeCell ref="C100:E100"/>
    <mergeCell ref="C101:E101"/>
    <mergeCell ref="C102:E102"/>
    <mergeCell ref="B104:E104"/>
    <mergeCell ref="B93:F93"/>
    <mergeCell ref="C94:E94"/>
    <mergeCell ref="C89:D89"/>
    <mergeCell ref="C77:E77"/>
    <mergeCell ref="C78:E78"/>
    <mergeCell ref="C79:E79"/>
    <mergeCell ref="C80:E80"/>
    <mergeCell ref="C81:E81"/>
    <mergeCell ref="B82:E82"/>
    <mergeCell ref="B84:F84"/>
    <mergeCell ref="C85:D85"/>
    <mergeCell ref="C86:D86"/>
    <mergeCell ref="C87:D87"/>
    <mergeCell ref="C88:D88"/>
    <mergeCell ref="B74:E74"/>
    <mergeCell ref="B59:E59"/>
    <mergeCell ref="C63:D63"/>
    <mergeCell ref="C64:D64"/>
    <mergeCell ref="C65:D65"/>
    <mergeCell ref="C66:D66"/>
    <mergeCell ref="C67:D67"/>
    <mergeCell ref="C68:D68"/>
    <mergeCell ref="C69:D69"/>
    <mergeCell ref="B70:E70"/>
    <mergeCell ref="C72:E72"/>
    <mergeCell ref="C73:E73"/>
    <mergeCell ref="C58:D58"/>
    <mergeCell ref="B45:E45"/>
    <mergeCell ref="C47:E47"/>
    <mergeCell ref="C48:E48"/>
    <mergeCell ref="C49:E49"/>
    <mergeCell ref="C50:E50"/>
    <mergeCell ref="C51:E51"/>
    <mergeCell ref="C52:E52"/>
    <mergeCell ref="B53:E53"/>
    <mergeCell ref="C55:D55"/>
    <mergeCell ref="C56:D56"/>
    <mergeCell ref="C57:D57"/>
    <mergeCell ref="C44:D44"/>
    <mergeCell ref="C33:D33"/>
    <mergeCell ref="B34:E34"/>
    <mergeCell ref="B35:F35"/>
    <mergeCell ref="C36:D36"/>
    <mergeCell ref="C37:D37"/>
    <mergeCell ref="C38:D38"/>
    <mergeCell ref="C39:D39"/>
    <mergeCell ref="C40:D40"/>
    <mergeCell ref="C41:D41"/>
    <mergeCell ref="C42:D42"/>
    <mergeCell ref="C43:D43"/>
    <mergeCell ref="C32:D32"/>
    <mergeCell ref="C18:E18"/>
    <mergeCell ref="B20:F20"/>
    <mergeCell ref="B21:E21"/>
    <mergeCell ref="C23:E23"/>
    <mergeCell ref="C24:E24"/>
    <mergeCell ref="C25:E25"/>
    <mergeCell ref="C26:E26"/>
    <mergeCell ref="C27:E27"/>
    <mergeCell ref="B28:E28"/>
    <mergeCell ref="C31:D31"/>
    <mergeCell ref="D17:F17"/>
    <mergeCell ref="B6:C6"/>
    <mergeCell ref="D6:E6"/>
    <mergeCell ref="B7:F7"/>
    <mergeCell ref="C8:E8"/>
    <mergeCell ref="D9:F9"/>
    <mergeCell ref="C10:E10"/>
    <mergeCell ref="C11:E11"/>
    <mergeCell ref="C12:E12"/>
    <mergeCell ref="C15:D15"/>
    <mergeCell ref="E15:F15"/>
    <mergeCell ref="D16:F16"/>
    <mergeCell ref="B1:F1"/>
    <mergeCell ref="B2:D2"/>
    <mergeCell ref="B3:F3"/>
    <mergeCell ref="B4:F4"/>
    <mergeCell ref="B5:C5"/>
    <mergeCell ref="D5:F5"/>
  </mergeCells>
  <printOptions horizontalCentered="1"/>
  <pageMargins left="0.15748031496062992" right="0.23622047244094491" top="0.24" bottom="0.15748031496062992" header="0.23622047244094491" footer="0.15748031496062992"/>
  <pageSetup paperSize="9" firstPageNumber="0" orientation="portrait" verticalDpi="300" r:id="rId1"/>
  <headerFooter alignWithMargins="0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5"/>
  <sheetViews>
    <sheetView topLeftCell="A23" zoomScaleNormal="100" zoomScaleSheetLayoutView="100" workbookViewId="0">
      <selection activeCell="F24" sqref="F24"/>
    </sheetView>
  </sheetViews>
  <sheetFormatPr defaultColWidth="9.109375" defaultRowHeight="16.8" x14ac:dyDescent="0.4"/>
  <cols>
    <col min="1" max="1" width="2.6640625" style="13" customWidth="1"/>
    <col min="2" max="2" width="8.88671875" style="13" customWidth="1"/>
    <col min="3" max="3" width="52.5546875" style="19" customWidth="1"/>
    <col min="4" max="4" width="7.88671875" style="19" customWidth="1"/>
    <col min="5" max="5" width="13.5546875" style="19" customWidth="1"/>
    <col min="6" max="6" width="15.44140625" style="19" bestFit="1" customWidth="1"/>
    <col min="7" max="7" width="9.6640625" style="13" bestFit="1" customWidth="1"/>
    <col min="8" max="16384" width="9.109375" style="13"/>
  </cols>
  <sheetData>
    <row r="1" spans="2:6" ht="20.399999999999999" x14ac:dyDescent="0.45">
      <c r="B1" s="313" t="str">
        <f>RAMO</f>
        <v>RAMO: MINISTÉRIO PÚBLIC FEDERAL</v>
      </c>
      <c r="C1" s="314"/>
      <c r="D1" s="314"/>
      <c r="E1" s="314"/>
      <c r="F1" s="315"/>
    </row>
    <row r="2" spans="2:6" ht="20.399999999999999" x14ac:dyDescent="0.45">
      <c r="B2" s="316" t="str">
        <f>UG</f>
        <v>UNIDADE GESTORA (SIGLA): PR-PA</v>
      </c>
      <c r="C2" s="317"/>
      <c r="D2" s="318"/>
      <c r="E2" s="113" t="s">
        <v>57</v>
      </c>
      <c r="F2" s="114" t="str">
        <f>DATA_DO_ORCAMENTO_ESTIMATIVO</f>
        <v>XX/XX/20XX</v>
      </c>
    </row>
    <row r="3" spans="2:6" s="98" customFormat="1" ht="24.6" x14ac:dyDescent="0.55000000000000004">
      <c r="B3" s="281" t="s">
        <v>55</v>
      </c>
      <c r="C3" s="281"/>
      <c r="D3" s="281"/>
      <c r="E3" s="281"/>
      <c r="F3" s="281"/>
    </row>
    <row r="4" spans="2:6" s="98" customFormat="1" ht="15.9" customHeight="1" x14ac:dyDescent="0.4">
      <c r="B4" s="282" t="s">
        <v>97</v>
      </c>
      <c r="C4" s="282"/>
      <c r="D4" s="282"/>
      <c r="E4" s="282"/>
      <c r="F4" s="282"/>
    </row>
    <row r="5" spans="2:6" s="98" customFormat="1" ht="15.9" customHeight="1" x14ac:dyDescent="0.4">
      <c r="B5" s="285" t="s">
        <v>223</v>
      </c>
      <c r="C5" s="285"/>
      <c r="D5" s="319" t="str">
        <f>NUMERO_PROCESSO</f>
        <v>1.23.000.000855/2020-32</v>
      </c>
      <c r="E5" s="319"/>
      <c r="F5" s="319"/>
    </row>
    <row r="6" spans="2:6" s="98" customFormat="1" ht="15.75" customHeight="1" x14ac:dyDescent="0.4">
      <c r="B6" s="289" t="s">
        <v>224</v>
      </c>
      <c r="C6" s="289"/>
      <c r="D6" s="320" t="str">
        <f>MODALIDADE_DE_LICITACAO</f>
        <v>Pregão nº</v>
      </c>
      <c r="E6" s="320"/>
      <c r="F6" s="118" t="str">
        <f>NUMERO_PREGAO</f>
        <v>XX/20XX</v>
      </c>
    </row>
    <row r="7" spans="2:6" s="99" customFormat="1" ht="15.75" customHeight="1" x14ac:dyDescent="0.45">
      <c r="B7" s="321" t="s">
        <v>58</v>
      </c>
      <c r="C7" s="321"/>
      <c r="D7" s="321"/>
      <c r="E7" s="321"/>
      <c r="F7" s="321"/>
    </row>
    <row r="8" spans="2:6" s="98" customFormat="1" ht="18" customHeight="1" x14ac:dyDescent="0.4">
      <c r="B8" s="25" t="s">
        <v>2</v>
      </c>
      <c r="C8" s="285" t="s">
        <v>63</v>
      </c>
      <c r="D8" s="285"/>
      <c r="E8" s="285"/>
      <c r="F8" s="119" t="str">
        <f>DATA_APRESENTACAO_PROPOSTA</f>
        <v>XX/XX/20XX</v>
      </c>
    </row>
    <row r="9" spans="2:6" s="98" customFormat="1" ht="15.9" customHeight="1" x14ac:dyDescent="0.25">
      <c r="B9" s="1" t="s">
        <v>3</v>
      </c>
      <c r="C9" s="67" t="s">
        <v>36</v>
      </c>
      <c r="D9" s="311" t="s">
        <v>271</v>
      </c>
      <c r="E9" s="311"/>
      <c r="F9" s="311"/>
    </row>
    <row r="10" spans="2:6" s="98" customFormat="1" ht="18.75" customHeight="1" x14ac:dyDescent="0.4">
      <c r="B10" s="25" t="s">
        <v>4</v>
      </c>
      <c r="C10" s="285" t="s">
        <v>37</v>
      </c>
      <c r="D10" s="285"/>
      <c r="E10" s="285"/>
      <c r="F10" s="120" t="str">
        <f>ACORDO_COLETIVO</f>
        <v>CCT 2020/2021</v>
      </c>
    </row>
    <row r="11" spans="2:6" s="98" customFormat="1" ht="15.9" customHeight="1" x14ac:dyDescent="0.4">
      <c r="B11" s="1" t="s">
        <v>5</v>
      </c>
      <c r="C11" s="311" t="s">
        <v>64</v>
      </c>
      <c r="D11" s="311"/>
      <c r="E11" s="311"/>
      <c r="F11" s="121">
        <f>NUMERO_MESES_EXEC_CONTRATUAL</f>
        <v>12</v>
      </c>
    </row>
    <row r="12" spans="2:6" s="98" customFormat="1" x14ac:dyDescent="0.4">
      <c r="B12" s="1" t="s">
        <v>6</v>
      </c>
      <c r="C12" s="312" t="s">
        <v>85</v>
      </c>
      <c r="D12" s="312"/>
      <c r="E12" s="312"/>
      <c r="F12" s="102">
        <v>2</v>
      </c>
    </row>
    <row r="13" spans="2:6" s="127" customFormat="1" ht="21" customHeight="1" x14ac:dyDescent="0.25">
      <c r="B13" s="125" t="s">
        <v>205</v>
      </c>
      <c r="C13" s="126"/>
      <c r="D13" s="126"/>
      <c r="E13" s="126"/>
      <c r="F13" s="126"/>
    </row>
    <row r="14" spans="2:6" s="98" customFormat="1" x14ac:dyDescent="0.4">
      <c r="B14" s="25">
        <v>1</v>
      </c>
      <c r="C14" s="243" t="s">
        <v>60</v>
      </c>
      <c r="D14" s="243"/>
      <c r="E14" s="247" t="str">
        <f>TIPO_DE_SERVICO</f>
        <v>Vigilância</v>
      </c>
      <c r="F14" s="247"/>
    </row>
    <row r="15" spans="2:6" s="99" customFormat="1" x14ac:dyDescent="0.4">
      <c r="B15" s="25">
        <v>2</v>
      </c>
      <c r="C15" s="27" t="s">
        <v>59</v>
      </c>
      <c r="D15" s="246" t="str">
        <f>CBO</f>
        <v>5173-30</v>
      </c>
      <c r="E15" s="246"/>
      <c r="F15" s="246"/>
    </row>
    <row r="16" spans="2:6" s="98" customFormat="1" ht="15" customHeight="1" x14ac:dyDescent="0.4">
      <c r="B16" s="25">
        <v>3</v>
      </c>
      <c r="C16" s="56" t="s">
        <v>61</v>
      </c>
      <c r="D16" s="247" t="str">
        <f>CATEGORIA_PROFISSIONAL</f>
        <v>Vigilante</v>
      </c>
      <c r="E16" s="247"/>
      <c r="F16" s="247"/>
    </row>
    <row r="17" spans="2:6" s="98" customFormat="1" ht="15" customHeight="1" x14ac:dyDescent="0.4">
      <c r="B17" s="25">
        <v>4</v>
      </c>
      <c r="C17" s="248" t="s">
        <v>62</v>
      </c>
      <c r="D17" s="248"/>
      <c r="E17" s="248"/>
      <c r="F17" s="135">
        <f>DATA_BASE_CATEGORIA</f>
        <v>43831</v>
      </c>
    </row>
    <row r="18" spans="2:6" s="124" customFormat="1" ht="30" customHeight="1" x14ac:dyDescent="0.4">
      <c r="B18" s="322" t="s">
        <v>40</v>
      </c>
      <c r="C18" s="322"/>
      <c r="D18" s="322"/>
      <c r="E18" s="322"/>
      <c r="F18" s="322"/>
    </row>
    <row r="19" spans="2:6" x14ac:dyDescent="0.4">
      <c r="B19" s="260" t="s">
        <v>52</v>
      </c>
      <c r="C19" s="260"/>
      <c r="D19" s="260"/>
      <c r="E19" s="260"/>
      <c r="F19" s="117">
        <v>2</v>
      </c>
    </row>
    <row r="20" spans="2:6" x14ac:dyDescent="0.4">
      <c r="B20" s="51" t="s">
        <v>8</v>
      </c>
      <c r="E20" s="14"/>
      <c r="F20" s="14"/>
    </row>
    <row r="21" spans="2:6" x14ac:dyDescent="0.4">
      <c r="B21" s="1">
        <v>1</v>
      </c>
      <c r="C21" s="250" t="s">
        <v>9</v>
      </c>
      <c r="D21" s="250"/>
      <c r="E21" s="250"/>
      <c r="F21" s="4" t="s">
        <v>13</v>
      </c>
    </row>
    <row r="22" spans="2:6" x14ac:dyDescent="0.4">
      <c r="B22" s="1" t="s">
        <v>2</v>
      </c>
      <c r="C22" s="249" t="s">
        <v>92</v>
      </c>
      <c r="D22" s="249"/>
      <c r="E22" s="249"/>
      <c r="F22" s="57">
        <f>SALARIO_BASE</f>
        <v>1401.07</v>
      </c>
    </row>
    <row r="23" spans="2:6" x14ac:dyDescent="0.4">
      <c r="B23" s="1" t="s">
        <v>3</v>
      </c>
      <c r="C23" s="300" t="s">
        <v>94</v>
      </c>
      <c r="D23" s="300"/>
      <c r="E23" s="300"/>
      <c r="F23" s="10">
        <f>PERC_ADIC_PERIC%*SALARIO_BASE</f>
        <v>420.32</v>
      </c>
    </row>
    <row r="24" spans="2:6" ht="15.75" customHeight="1" x14ac:dyDescent="0.4">
      <c r="B24" s="1" t="s">
        <v>4</v>
      </c>
      <c r="C24" s="331" t="s">
        <v>83</v>
      </c>
      <c r="D24" s="331"/>
      <c r="E24" s="331"/>
      <c r="F24" s="57">
        <f>7*15.2*0.2*((AL_1_A_SAL_BASE_12X36_NOT+AL_1_B_ADIC_PERIC_12X36_NOT)/220)</f>
        <v>176.18</v>
      </c>
    </row>
    <row r="25" spans="2:6" ht="15.75" customHeight="1" x14ac:dyDescent="0.4">
      <c r="B25" s="1" t="s">
        <v>5</v>
      </c>
      <c r="C25" s="300" t="s">
        <v>87</v>
      </c>
      <c r="D25" s="300"/>
      <c r="E25" s="300"/>
      <c r="F25" s="237">
        <f>((AL_1_A_SAL_BASE_12X36_NOT+AL_1_B_ADIC_PERIC_12X36_NOT)/DIVISOR_DE_HORAS)*((HORA_NORMAL-HORA_NOTURNA)/HORA_NOTURNA)*DIAS_NA_SEMANA*MEDIA_ANUAL_DIAS_TRABALHO_MES*1.2*1.5</f>
        <v>226.51</v>
      </c>
    </row>
    <row r="26" spans="2:6" x14ac:dyDescent="0.4">
      <c r="B26" s="1" t="s">
        <v>6</v>
      </c>
      <c r="C26" s="275" t="str">
        <f>OUTROS_REMUNERACAO_1_DESCRICAO</f>
        <v>DSR - Adicional noturno - 1/6</v>
      </c>
      <c r="D26" s="276"/>
      <c r="E26" s="277"/>
      <c r="F26" s="57">
        <f>1/6*AL_1_C_ADIC_NOT_12X36_NOT</f>
        <v>29.36</v>
      </c>
    </row>
    <row r="27" spans="2:6" x14ac:dyDescent="0.4">
      <c r="B27" s="1" t="s">
        <v>7</v>
      </c>
      <c r="C27" s="305" t="str">
        <f>OUTROS_REMUNERACAO_2_DESCRICAO</f>
        <v>DSR - Hora noturna reduzida - 1/6</v>
      </c>
      <c r="D27" s="306"/>
      <c r="E27" s="307"/>
      <c r="F27" s="10">
        <f>1/6*AL_1_D_ADIC_NOT_RED_12X36_NOT</f>
        <v>37.75</v>
      </c>
    </row>
    <row r="28" spans="2:6" x14ac:dyDescent="0.4">
      <c r="B28" s="329" t="s">
        <v>46</v>
      </c>
      <c r="C28" s="329"/>
      <c r="D28" s="329"/>
      <c r="E28" s="329"/>
      <c r="F28" s="40">
        <f>SUM(F22:F27)</f>
        <v>2291.19</v>
      </c>
    </row>
    <row r="29" spans="2:6" x14ac:dyDescent="0.4">
      <c r="B29" s="51" t="s">
        <v>65</v>
      </c>
      <c r="E29" s="21"/>
      <c r="F29" s="21"/>
    </row>
    <row r="30" spans="2:6" x14ac:dyDescent="0.4">
      <c r="B30" s="51" t="s">
        <v>110</v>
      </c>
      <c r="C30" s="12"/>
      <c r="D30" s="22"/>
      <c r="E30" s="20"/>
      <c r="F30" s="20"/>
    </row>
    <row r="31" spans="2:6" x14ac:dyDescent="0.4">
      <c r="B31" s="1" t="s">
        <v>66</v>
      </c>
      <c r="C31" s="260" t="s">
        <v>93</v>
      </c>
      <c r="D31" s="260"/>
      <c r="E31" s="4" t="s">
        <v>1</v>
      </c>
      <c r="F31" s="4" t="s">
        <v>13</v>
      </c>
    </row>
    <row r="32" spans="2:6" x14ac:dyDescent="0.4">
      <c r="B32" s="1" t="s">
        <v>2</v>
      </c>
      <c r="C32" s="298" t="s">
        <v>47</v>
      </c>
      <c r="D32" s="298"/>
      <c r="E32" s="59">
        <f>PERC_DEC_TERC</f>
        <v>8.33</v>
      </c>
      <c r="F32" s="58">
        <f>PERC_DEC_TERC%*MOD_1_REMUNERACAO_12X36_NOT</f>
        <v>190.86</v>
      </c>
    </row>
    <row r="33" spans="2:9" s="17" customFormat="1" x14ac:dyDescent="0.4">
      <c r="B33" s="2" t="s">
        <v>3</v>
      </c>
      <c r="C33" s="300" t="s">
        <v>95</v>
      </c>
      <c r="D33" s="300"/>
      <c r="E33" s="38">
        <f>PERC_ADIC_FERIAS</f>
        <v>2.78</v>
      </c>
      <c r="F33" s="36">
        <f>PERC_ADIC_FERIAS%*MOD_1_REMUNERACAO_12X36_NOT</f>
        <v>63.7</v>
      </c>
    </row>
    <row r="34" spans="2:9" s="107" customFormat="1" x14ac:dyDescent="0.4">
      <c r="B34" s="268" t="s">
        <v>46</v>
      </c>
      <c r="C34" s="269"/>
      <c r="D34" s="269"/>
      <c r="E34" s="270"/>
      <c r="F34" s="41">
        <f>SUM(F32:F33)</f>
        <v>254.56</v>
      </c>
    </row>
    <row r="35" spans="2:9" s="107" customFormat="1" ht="31.5" customHeight="1" x14ac:dyDescent="0.4">
      <c r="B35" s="330" t="s">
        <v>68</v>
      </c>
      <c r="C35" s="330"/>
      <c r="D35" s="330"/>
      <c r="E35" s="330"/>
      <c r="F35" s="330"/>
    </row>
    <row r="36" spans="2:9" s="107" customFormat="1" ht="34.5" customHeight="1" x14ac:dyDescent="0.4">
      <c r="B36" s="1" t="s">
        <v>69</v>
      </c>
      <c r="C36" s="304" t="s">
        <v>96</v>
      </c>
      <c r="D36" s="304"/>
      <c r="E36" s="4" t="s">
        <v>1</v>
      </c>
      <c r="F36" s="4" t="s">
        <v>13</v>
      </c>
    </row>
    <row r="37" spans="2:9" x14ac:dyDescent="0.4">
      <c r="B37" s="1" t="s">
        <v>2</v>
      </c>
      <c r="C37" s="298" t="s">
        <v>41</v>
      </c>
      <c r="D37" s="298"/>
      <c r="E37" s="59">
        <f>PERC_INSS</f>
        <v>20</v>
      </c>
      <c r="F37" s="58">
        <f>PERC_INSS%*(MOD_1_REMUNERACAO_12X36_NOT+SUBMOD_2_1_DEC_TERC_ADIC_FERIAS_12X36_NOT)</f>
        <v>509.15</v>
      </c>
    </row>
    <row r="38" spans="2:9" s="98" customFormat="1" x14ac:dyDescent="0.25">
      <c r="B38" s="2" t="s">
        <v>3</v>
      </c>
      <c r="C38" s="300" t="s">
        <v>43</v>
      </c>
      <c r="D38" s="300"/>
      <c r="E38" s="46">
        <f>PERC_SAL_EDUCACAO</f>
        <v>2.5</v>
      </c>
      <c r="F38" s="36">
        <f>PERC_SAL_EDUCACAO%*(MOD_1_REMUNERACAO_12X36_NOT+SUBMOD_2_1_DEC_TERC_ADIC_FERIAS_12X36_NOT)</f>
        <v>63.64</v>
      </c>
    </row>
    <row r="39" spans="2:9" s="98" customFormat="1" x14ac:dyDescent="0.25">
      <c r="B39" s="2" t="s">
        <v>4</v>
      </c>
      <c r="C39" s="275" t="s">
        <v>236</v>
      </c>
      <c r="D39" s="276"/>
      <c r="E39" s="59">
        <f>PERC_RAT</f>
        <v>6</v>
      </c>
      <c r="F39" s="58">
        <f>PERC_RAT%*(MOD_1_REMUNERACAO_12X36_NOT+SUBMOD_2_1_DEC_TERC_ADIC_FERIAS_12X36_NOT)</f>
        <v>152.75</v>
      </c>
    </row>
    <row r="40" spans="2:9" s="98" customFormat="1" x14ac:dyDescent="0.25">
      <c r="B40" s="2" t="s">
        <v>5</v>
      </c>
      <c r="C40" s="300" t="s">
        <v>88</v>
      </c>
      <c r="D40" s="300"/>
      <c r="E40" s="38">
        <f>PERC_SESC</f>
        <v>1.5</v>
      </c>
      <c r="F40" s="36">
        <f>PERC_SESC%*(MOD_1_REMUNERACAO_12X36_NOT+SUBMOD_2_1_DEC_TERC_ADIC_FERIAS_12X36_NOT)</f>
        <v>38.19</v>
      </c>
      <c r="I40" s="143"/>
    </row>
    <row r="41" spans="2:9" s="98" customFormat="1" x14ac:dyDescent="0.25">
      <c r="B41" s="2" t="s">
        <v>6</v>
      </c>
      <c r="C41" s="298" t="s">
        <v>89</v>
      </c>
      <c r="D41" s="298"/>
      <c r="E41" s="59">
        <f>PERC_SENAC</f>
        <v>1</v>
      </c>
      <c r="F41" s="58">
        <f>PERC_SENAC%*(MOD_1_REMUNERACAO_12X36_NOT+SUBMOD_2_1_DEC_TERC_ADIC_FERIAS_12X36_NOT)</f>
        <v>25.46</v>
      </c>
    </row>
    <row r="42" spans="2:9" s="99" customFormat="1" x14ac:dyDescent="0.25">
      <c r="B42" s="2" t="s">
        <v>7</v>
      </c>
      <c r="C42" s="300" t="s">
        <v>45</v>
      </c>
      <c r="D42" s="300"/>
      <c r="E42" s="46">
        <f>PERC_SEBRAE</f>
        <v>0.6</v>
      </c>
      <c r="F42" s="36">
        <f>PERC_SEBRAE%*(MOD_1_REMUNERACAO_12X36_NOT+SUBMOD_2_1_DEC_TERC_ADIC_FERIAS_12X36_NOT)</f>
        <v>15.27</v>
      </c>
    </row>
    <row r="43" spans="2:9" s="99" customFormat="1" x14ac:dyDescent="0.25">
      <c r="B43" s="2" t="s">
        <v>10</v>
      </c>
      <c r="C43" s="298" t="s">
        <v>42</v>
      </c>
      <c r="D43" s="298"/>
      <c r="E43" s="59">
        <f>PERC_INCRA</f>
        <v>0.2</v>
      </c>
      <c r="F43" s="58">
        <f>PERC_INCRA%*(MOD_1_REMUNERACAO_12X36_NOT+SUBMOD_2_1_DEC_TERC_ADIC_FERIAS_12X36_NOT)</f>
        <v>5.09</v>
      </c>
    </row>
    <row r="44" spans="2:9" x14ac:dyDescent="0.4">
      <c r="B44" s="2" t="s">
        <v>11</v>
      </c>
      <c r="C44" s="300" t="s">
        <v>44</v>
      </c>
      <c r="D44" s="300"/>
      <c r="E44" s="46">
        <f>PERC_FGTS</f>
        <v>8</v>
      </c>
      <c r="F44" s="36">
        <f>PERC_FGTS%*(MOD_1_REMUNERACAO_12X36_NOT+SUBMOD_2_1_DEC_TERC_ADIC_FERIAS_12X36_NOT)</f>
        <v>203.66</v>
      </c>
    </row>
    <row r="45" spans="2:9" x14ac:dyDescent="0.4">
      <c r="B45" s="268" t="s">
        <v>46</v>
      </c>
      <c r="C45" s="269"/>
      <c r="D45" s="269"/>
      <c r="E45" s="270"/>
      <c r="F45" s="42">
        <f>SUM(F37:F44)</f>
        <v>1013.21</v>
      </c>
    </row>
    <row r="46" spans="2:9" ht="15.75" customHeight="1" x14ac:dyDescent="0.4">
      <c r="B46" s="51" t="s">
        <v>71</v>
      </c>
      <c r="C46" s="99"/>
      <c r="D46" s="99"/>
      <c r="E46" s="99"/>
      <c r="F46" s="99"/>
    </row>
    <row r="47" spans="2:9" ht="15.75" customHeight="1" x14ac:dyDescent="0.4">
      <c r="B47" s="1" t="s">
        <v>90</v>
      </c>
      <c r="C47" s="250" t="s">
        <v>14</v>
      </c>
      <c r="D47" s="250"/>
      <c r="E47" s="250"/>
      <c r="F47" s="4" t="s">
        <v>13</v>
      </c>
    </row>
    <row r="48" spans="2:9" x14ac:dyDescent="0.4">
      <c r="B48" s="25" t="s">
        <v>2</v>
      </c>
      <c r="C48" s="298" t="s">
        <v>15</v>
      </c>
      <c r="D48" s="298"/>
      <c r="E48" s="298"/>
      <c r="F48" s="58">
        <f>IF((((3*2)*DIAS_TRABALHADOS_NO_MES_12X36)-(PERC_DESC_TRANSP_REMUNERACAO%*(AL_1_A_SAL_BASE_12X36_NOT/2)))&gt;0,(((3*2)*DIAS_TRABALHADOS_NO_MES_12X36)-(PERC_DESC_TRANSP_REMUNERACAO%*(AL_1_A_SAL_BASE_12X36_NOT/2))),0)</f>
        <v>47.97</v>
      </c>
    </row>
    <row r="49" spans="2:7" s="107" customFormat="1" x14ac:dyDescent="0.4">
      <c r="B49" s="25" t="s">
        <v>3</v>
      </c>
      <c r="C49" s="300" t="s">
        <v>70</v>
      </c>
      <c r="D49" s="300"/>
      <c r="E49" s="300"/>
      <c r="F49" s="36">
        <f>ALIMENTACAO_POR_DIA*DIAS_TRABALHADOS_NO_MES_12X36*0.99</f>
        <v>386.1</v>
      </c>
      <c r="G49" s="13"/>
    </row>
    <row r="50" spans="2:7" s="107" customFormat="1" x14ac:dyDescent="0.4">
      <c r="B50" s="25" t="s">
        <v>4</v>
      </c>
      <c r="C50" s="275" t="str">
        <f>OUTROS_BENEFICIOS_1_DESCRICAO</f>
        <v>Auxílio saúde</v>
      </c>
      <c r="D50" s="276"/>
      <c r="E50" s="277"/>
      <c r="F50" s="58"/>
      <c r="G50" s="13"/>
    </row>
    <row r="51" spans="2:7" s="107" customFormat="1" x14ac:dyDescent="0.4">
      <c r="B51" s="25" t="s">
        <v>5</v>
      </c>
      <c r="C51" s="305" t="str">
        <f>OUTROS_BENEFICIOS_2_DESCRICAO</f>
        <v>Auxílio morte/funeral</v>
      </c>
      <c r="D51" s="306"/>
      <c r="E51" s="307"/>
      <c r="F51" s="36"/>
      <c r="G51" s="13"/>
    </row>
    <row r="52" spans="2:7" s="107" customFormat="1" x14ac:dyDescent="0.4">
      <c r="B52" s="25" t="s">
        <v>6</v>
      </c>
      <c r="C52" s="275" t="str">
        <f>OUTROS_BENEFICIOS_3_DESCRICAO</f>
        <v>Seguro de vida</v>
      </c>
      <c r="D52" s="276"/>
      <c r="E52" s="277"/>
      <c r="F52" s="58"/>
    </row>
    <row r="53" spans="2:7" s="107" customFormat="1" ht="15" customHeight="1" x14ac:dyDescent="0.4">
      <c r="B53" s="329" t="s">
        <v>46</v>
      </c>
      <c r="C53" s="329"/>
      <c r="D53" s="329"/>
      <c r="E53" s="329"/>
      <c r="F53" s="40">
        <f>SUM(F48:F52)</f>
        <v>434.07</v>
      </c>
    </row>
    <row r="54" spans="2:7" s="107" customFormat="1" x14ac:dyDescent="0.4">
      <c r="B54" s="51" t="s">
        <v>72</v>
      </c>
      <c r="C54" s="12"/>
      <c r="D54" s="22"/>
      <c r="E54" s="20"/>
      <c r="F54" s="20"/>
    </row>
    <row r="55" spans="2:7" s="107" customFormat="1" ht="15" customHeight="1" x14ac:dyDescent="0.4">
      <c r="B55" s="1">
        <v>3</v>
      </c>
      <c r="C55" s="260" t="s">
        <v>48</v>
      </c>
      <c r="D55" s="260"/>
      <c r="E55" s="4" t="s">
        <v>1</v>
      </c>
      <c r="F55" s="4" t="s">
        <v>13</v>
      </c>
    </row>
    <row r="56" spans="2:7" s="107" customFormat="1" x14ac:dyDescent="0.4">
      <c r="B56" s="1" t="s">
        <v>2</v>
      </c>
      <c r="C56" s="301" t="s">
        <v>49</v>
      </c>
      <c r="D56" s="301"/>
      <c r="E56" s="59">
        <f>PERC_AVISO_PREVIO_IND</f>
        <v>0.28999999999999998</v>
      </c>
      <c r="F56" s="58">
        <f>PERC_AVISO_PREVIO_IND%*(MOD_1_REMUNERACAO_12X36_NOT+SUBMOD_2_1_DEC_TERC_ADIC_FERIAS_12X36_NOT+AL_2_2_FGTS_12X36_NOT+SUBMOD_2_3_BENEFICIOS_12X36_NOT)</f>
        <v>9.23</v>
      </c>
    </row>
    <row r="57" spans="2:7" s="107" customFormat="1" x14ac:dyDescent="0.4">
      <c r="B57" s="2" t="s">
        <v>3</v>
      </c>
      <c r="C57" s="303" t="s">
        <v>50</v>
      </c>
      <c r="D57" s="303"/>
      <c r="E57" s="46">
        <f>PERC_AVISO_PREVIO_TRAB</f>
        <v>1.1599999999999999</v>
      </c>
      <c r="F57" s="36">
        <f>PERC_AVISO_PREVIO_TRAB%*(MOD_1_REMUNERACAO_12X36_NOT+SUBMOD_2_1_DEC_TERC_ADIC_FERIAS_12X36_NOT+SUBMOD_2_2_GPS_FGTS_12X36_NOT+SUBMOD_2_3_BENEFICIOS_12X36_NOT)</f>
        <v>46.32</v>
      </c>
    </row>
    <row r="58" spans="2:7" s="98" customFormat="1" x14ac:dyDescent="0.25">
      <c r="B58" s="2" t="s">
        <v>4</v>
      </c>
      <c r="C58" s="301" t="s">
        <v>232</v>
      </c>
      <c r="D58" s="301"/>
      <c r="E58" s="59">
        <f>PERC_MULTA_FGTS_AV_PREV_TRAB</f>
        <v>0.04</v>
      </c>
      <c r="F58" s="58">
        <f>PERC_MULTA_FGTS_AV_PREV_TRAB%*(MOD_1_REMUNERACAO_12X36_NOT+SUBMOD_2_1_DEC_TERC_ADIC_FERIAS_12X36_NOT)</f>
        <v>1.02</v>
      </c>
    </row>
    <row r="59" spans="2:7" s="98" customFormat="1" x14ac:dyDescent="0.4">
      <c r="B59" s="268" t="s">
        <v>46</v>
      </c>
      <c r="C59" s="269"/>
      <c r="D59" s="269"/>
      <c r="E59" s="270"/>
      <c r="F59" s="41">
        <f>SUM(F56:F58)</f>
        <v>56.57</v>
      </c>
    </row>
    <row r="60" spans="2:7" ht="7.5" customHeight="1" x14ac:dyDescent="0.4">
      <c r="B60" s="16"/>
      <c r="C60" s="17"/>
      <c r="D60" s="18"/>
      <c r="E60" s="14"/>
      <c r="F60" s="14"/>
    </row>
    <row r="61" spans="2:7" s="98" customFormat="1" ht="15.9" customHeight="1" x14ac:dyDescent="0.4">
      <c r="B61" s="51" t="s">
        <v>73</v>
      </c>
      <c r="C61" s="12"/>
      <c r="D61" s="22"/>
      <c r="E61" s="13"/>
      <c r="F61" s="13"/>
    </row>
    <row r="62" spans="2:7" s="98" customFormat="1" ht="15.9" customHeight="1" x14ac:dyDescent="0.4">
      <c r="B62" s="51" t="s">
        <v>102</v>
      </c>
      <c r="C62" s="12"/>
      <c r="D62" s="22"/>
      <c r="E62" s="20"/>
      <c r="F62" s="20"/>
    </row>
    <row r="63" spans="2:7" s="98" customFormat="1" x14ac:dyDescent="0.25">
      <c r="B63" s="1" t="s">
        <v>18</v>
      </c>
      <c r="C63" s="302" t="s">
        <v>103</v>
      </c>
      <c r="D63" s="302"/>
      <c r="E63" s="4" t="s">
        <v>1</v>
      </c>
      <c r="F63" s="4" t="s">
        <v>13</v>
      </c>
    </row>
    <row r="64" spans="2:7" s="98" customFormat="1" ht="15.9" customHeight="1" x14ac:dyDescent="0.25">
      <c r="B64" s="2" t="s">
        <v>2</v>
      </c>
      <c r="C64" s="298" t="s">
        <v>104</v>
      </c>
      <c r="D64" s="298"/>
      <c r="E64" s="59">
        <f>PERC_SUBSTITUTO_FERIAS</f>
        <v>8.33</v>
      </c>
      <c r="F64" s="58">
        <f>PERC_SUBSTITUTO_FERIAS%*(MOD_1_REMUNERACAO_12X36_NOT+MOD_2_ENCARGOS_BENEFICIOS_12X36_NOT+MOD_3_PROVISAO_RESCISAO_12X36_NOT)</f>
        <v>337.33</v>
      </c>
    </row>
    <row r="65" spans="2:7" s="98" customFormat="1" ht="15.9" customHeight="1" x14ac:dyDescent="0.25">
      <c r="B65" s="2" t="s">
        <v>3</v>
      </c>
      <c r="C65" s="300" t="s">
        <v>105</v>
      </c>
      <c r="D65" s="300"/>
      <c r="E65" s="46">
        <f>PERC_SUBSTITUTO_AUSENCIAS_LEGAIS</f>
        <v>2.2200000000000002</v>
      </c>
      <c r="F65" s="36">
        <f>PERC_SUBSTITUTO_AUSENCIAS_LEGAIS%*(MOD_1_REMUNERACAO_12X36_NOT+MOD_2_ENCARGOS_BENEFICIOS_12X36_NOT+MOD_3_PROVISAO_RESCISAO_12X36_NOT)</f>
        <v>89.9</v>
      </c>
    </row>
    <row r="66" spans="2:7" s="98" customFormat="1" ht="15.9" customHeight="1" x14ac:dyDescent="0.25">
      <c r="B66" s="2" t="s">
        <v>4</v>
      </c>
      <c r="C66" s="298" t="s">
        <v>106</v>
      </c>
      <c r="D66" s="298"/>
      <c r="E66" s="59">
        <f>PERC_SUBSTITUTO_LICENCA_PATERNIDADE</f>
        <v>7.0000000000000007E-2</v>
      </c>
      <c r="F66" s="58">
        <f>PERC_SUBSTITUTO_LICENCA_PATERNIDADE%*(MOD_1_REMUNERACAO_12X36_NOT+MOD_2_ENCARGOS_BENEFICIOS_12X36_NOT+MOD_3_PROVISAO_RESCISAO_12X36_NOT)</f>
        <v>2.83</v>
      </c>
    </row>
    <row r="67" spans="2:7" s="98" customFormat="1" x14ac:dyDescent="0.25">
      <c r="B67" s="2" t="s">
        <v>5</v>
      </c>
      <c r="C67" s="300" t="s">
        <v>107</v>
      </c>
      <c r="D67" s="300"/>
      <c r="E67" s="46">
        <f>PERC_SUBSTITUTO_ACID_TRAB</f>
        <v>0.02</v>
      </c>
      <c r="F67" s="36">
        <f>PERC_SUBSTITUTO_ACID_TRAB%*(MOD_1_REMUNERACAO_12X36_NOT+MOD_2_ENCARGOS_BENEFICIOS_12X36_NOT+MOD_3_PROVISAO_RESCISAO_12X36_NOT)</f>
        <v>0.81</v>
      </c>
    </row>
    <row r="68" spans="2:7" s="98" customFormat="1" x14ac:dyDescent="0.25">
      <c r="B68" s="2" t="s">
        <v>6</v>
      </c>
      <c r="C68" s="298" t="s">
        <v>108</v>
      </c>
      <c r="D68" s="298"/>
      <c r="E68" s="59">
        <f>PERC_SUBSTITUTO_AFAST_MATERN</f>
        <v>0.04</v>
      </c>
      <c r="F68" s="58">
        <f>PERC_SUBSTITUTO_AFAST_MATERN%*(MOD_1_REMUNERACAO_12X36_NOT+MOD_2_ENCARGOS_BENEFICIOS_12X36_NOT+MOD_3_PROVISAO_RESCISAO_12X36_NOT)</f>
        <v>1.62</v>
      </c>
    </row>
    <row r="69" spans="2:7" s="98" customFormat="1" x14ac:dyDescent="0.25">
      <c r="B69" s="2" t="s">
        <v>7</v>
      </c>
      <c r="C69" s="325" t="str">
        <f>OUTRAS_AUSENCIAS_DESCRICAO</f>
        <v>Outras Ausências (Especificar - em %)</v>
      </c>
      <c r="D69" s="300"/>
      <c r="E69" s="53">
        <f>PERC_SUBSTITUTO_OUTRAS_AUSENCIAS</f>
        <v>0</v>
      </c>
      <c r="F69" s="36">
        <f>PERC_SUBSTITUTO_OUTRAS_AUSENCIAS%*(MOD_1_REMUNERACAO_12X36_NOT+MOD_2_ENCARGOS_BENEFICIOS_12X36_NOT+MOD_3_PROVISAO_RESCISAO_12X36_NOT)</f>
        <v>0</v>
      </c>
    </row>
    <row r="70" spans="2:7" s="98" customFormat="1" x14ac:dyDescent="0.4">
      <c r="B70" s="268" t="s">
        <v>46</v>
      </c>
      <c r="C70" s="269"/>
      <c r="D70" s="269"/>
      <c r="E70" s="270"/>
      <c r="F70" s="41">
        <f>SUM(F64:F69)</f>
        <v>432.49</v>
      </c>
    </row>
    <row r="71" spans="2:7" s="98" customFormat="1" ht="15" customHeight="1" x14ac:dyDescent="0.4">
      <c r="B71" s="51" t="s">
        <v>226</v>
      </c>
      <c r="C71" s="12"/>
      <c r="D71" s="22"/>
      <c r="E71" s="20"/>
      <c r="F71" s="20"/>
    </row>
    <row r="72" spans="2:7" s="98" customFormat="1" x14ac:dyDescent="0.25">
      <c r="B72" s="1" t="s">
        <v>19</v>
      </c>
      <c r="C72" s="260" t="s">
        <v>225</v>
      </c>
      <c r="D72" s="260"/>
      <c r="E72" s="260"/>
      <c r="F72" s="4" t="s">
        <v>13</v>
      </c>
    </row>
    <row r="73" spans="2:7" s="98" customFormat="1" ht="16.5" customHeight="1" x14ac:dyDescent="0.25">
      <c r="B73" s="1" t="s">
        <v>2</v>
      </c>
      <c r="C73" s="298" t="s">
        <v>109</v>
      </c>
      <c r="D73" s="298"/>
      <c r="E73" s="298"/>
      <c r="F73" s="57">
        <f>((MOD_1_REMUNERACAO_12X36_NOT+MOD_2_ENCARGOS_BENEFICIOS_12X36_NOT+MOD_3_PROVISAO_RESCISAO_12X36_NOT)/DIVISOR_DE_HORAS)*((TEMPO_INTERVALO_REFEICAO/HORA_NORMAL))*DIAS_TRABALHADOS_NO_MES_12X36</f>
        <v>276.11</v>
      </c>
      <c r="G73" s="141"/>
    </row>
    <row r="74" spans="2:7" s="98" customFormat="1" x14ac:dyDescent="0.4">
      <c r="B74" s="260" t="s">
        <v>46</v>
      </c>
      <c r="C74" s="260"/>
      <c r="D74" s="260"/>
      <c r="E74" s="260"/>
      <c r="F74" s="41">
        <f>SUM(F73:F73)</f>
        <v>276.11</v>
      </c>
    </row>
    <row r="75" spans="2:7" ht="7.5" customHeight="1" x14ac:dyDescent="0.4">
      <c r="B75" s="16"/>
      <c r="C75" s="17"/>
      <c r="D75" s="18"/>
      <c r="E75" s="14"/>
      <c r="F75" s="14"/>
    </row>
    <row r="76" spans="2:7" x14ac:dyDescent="0.4">
      <c r="B76" s="51" t="s">
        <v>77</v>
      </c>
      <c r="C76" s="12"/>
      <c r="D76" s="12"/>
      <c r="E76" s="20"/>
      <c r="F76" s="20"/>
    </row>
    <row r="77" spans="2:7" ht="15.75" customHeight="1" x14ac:dyDescent="0.4">
      <c r="B77" s="49">
        <v>5</v>
      </c>
      <c r="C77" s="271" t="s">
        <v>0</v>
      </c>
      <c r="D77" s="271"/>
      <c r="E77" s="271"/>
      <c r="F77" s="50" t="s">
        <v>13</v>
      </c>
    </row>
    <row r="78" spans="2:7" x14ac:dyDescent="0.4">
      <c r="B78" s="44" t="s">
        <v>2</v>
      </c>
      <c r="C78" s="272" t="s">
        <v>16</v>
      </c>
      <c r="D78" s="272"/>
      <c r="E78" s="272"/>
      <c r="F78" s="60">
        <f>UNIFORMES</f>
        <v>244.71</v>
      </c>
    </row>
    <row r="79" spans="2:7" x14ac:dyDescent="0.4">
      <c r="B79" s="44" t="s">
        <v>3</v>
      </c>
      <c r="C79" s="273" t="s">
        <v>285</v>
      </c>
      <c r="D79" s="273"/>
      <c r="E79" s="273"/>
      <c r="F79" s="47">
        <f>MATERIAIS</f>
        <v>77.400000000000006</v>
      </c>
    </row>
    <row r="80" spans="2:7" x14ac:dyDescent="0.4">
      <c r="B80" s="44" t="s">
        <v>4</v>
      </c>
      <c r="C80" s="272" t="s">
        <v>286</v>
      </c>
      <c r="D80" s="272"/>
      <c r="E80" s="272"/>
      <c r="F80" s="60">
        <f>EQUIPAMENTOS</f>
        <v>8.09</v>
      </c>
    </row>
    <row r="81" spans="2:6" x14ac:dyDescent="0.4">
      <c r="B81" s="44" t="s">
        <v>5</v>
      </c>
      <c r="C81" s="324" t="str">
        <f>OUTROS_INSUMOS_DESCRICAO</f>
        <v>Outros (Especificar)</v>
      </c>
      <c r="D81" s="273"/>
      <c r="E81" s="273"/>
      <c r="F81" s="47">
        <f>OUTROS_INSUMOS</f>
        <v>0</v>
      </c>
    </row>
    <row r="82" spans="2:6" x14ac:dyDescent="0.4">
      <c r="B82" s="328" t="s">
        <v>46</v>
      </c>
      <c r="C82" s="328"/>
      <c r="D82" s="328"/>
      <c r="E82" s="328"/>
      <c r="F82" s="43">
        <f>SUM(F78:F81)</f>
        <v>330.2</v>
      </c>
    </row>
    <row r="83" spans="2:6" ht="7.5" customHeight="1" x14ac:dyDescent="0.4">
      <c r="B83" s="16"/>
      <c r="C83" s="17"/>
      <c r="D83" s="18"/>
      <c r="E83" s="14"/>
      <c r="F83" s="14"/>
    </row>
    <row r="84" spans="2:6" ht="15" customHeight="1" x14ac:dyDescent="0.4">
      <c r="B84" s="264" t="s">
        <v>76</v>
      </c>
      <c r="C84" s="264"/>
      <c r="D84" s="264"/>
      <c r="E84" s="264"/>
      <c r="F84" s="264"/>
    </row>
    <row r="85" spans="2:6" x14ac:dyDescent="0.4">
      <c r="B85" s="1">
        <v>6</v>
      </c>
      <c r="C85" s="260" t="s">
        <v>20</v>
      </c>
      <c r="D85" s="260"/>
      <c r="E85" s="4" t="s">
        <v>1</v>
      </c>
      <c r="F85" s="4" t="s">
        <v>13</v>
      </c>
    </row>
    <row r="86" spans="2:6" x14ac:dyDescent="0.4">
      <c r="B86" s="1" t="s">
        <v>2</v>
      </c>
      <c r="C86" s="298" t="s">
        <v>78</v>
      </c>
      <c r="D86" s="298"/>
      <c r="E86" s="61">
        <f>PERC_CUSTOS_INDIRETOS</f>
        <v>4.8499999999999996</v>
      </c>
      <c r="F86" s="58">
        <f>PERC_CUSTOS_INDIRETOS%*(MOD_1_REMUNERACAO_12X36_NOT+MOD_2_ENCARGOS_BENEFICIOS_12X36_NOT+MOD_3_PROVISAO_RESCISAO_12X36_NOT+MOD_4_CUSTO_REPOSICAO_12X36_NOT+MOD_5_INSUMOS_12X36_NOT)</f>
        <v>246.79</v>
      </c>
    </row>
    <row r="87" spans="2:6" ht="15.75" customHeight="1" x14ac:dyDescent="0.4">
      <c r="B87" s="2" t="s">
        <v>3</v>
      </c>
      <c r="C87" s="300" t="s">
        <v>32</v>
      </c>
      <c r="D87" s="300"/>
      <c r="E87" s="48">
        <f>PERC_LUCRO</f>
        <v>5.45</v>
      </c>
      <c r="F87" s="36">
        <f>PERC_LUCRO%*(MOD_1_REMUNERACAO_12X36_NOT+MOD_2_ENCARGOS_BENEFICIOS_12X36_NOT+MOD_3_PROVISAO_RESCISAO_12X36_NOT+MOD_4_CUSTO_REPOSICAO_12X36_NOT+MOD_5_INSUMOS_12X36_NOT+AL_6_A_CUSTOS_INDIRETOS_12X36_NOT)</f>
        <v>290.77</v>
      </c>
    </row>
    <row r="88" spans="2:6" x14ac:dyDescent="0.4">
      <c r="B88" s="2" t="s">
        <v>4</v>
      </c>
      <c r="C88" s="298" t="s">
        <v>21</v>
      </c>
      <c r="D88" s="298"/>
      <c r="E88" s="61">
        <f>SUM(E89:E91)</f>
        <v>8.65</v>
      </c>
      <c r="F88" s="58">
        <f>SUM(F89:F91)</f>
        <v>532.72</v>
      </c>
    </row>
    <row r="89" spans="2:6" ht="15.75" customHeight="1" x14ac:dyDescent="0.4">
      <c r="B89" s="30" t="s">
        <v>79</v>
      </c>
      <c r="C89" s="326" t="s">
        <v>23</v>
      </c>
      <c r="D89" s="326"/>
      <c r="E89" s="31">
        <f>PERC_PIS</f>
        <v>0.65</v>
      </c>
      <c r="F89" s="63">
        <f>((MOD_1_REMUNERACAO_12X36_NOT+MOD_2_ENCARGOS_BENEFICIOS_12X36_NOT+MOD_3_PROVISAO_RESCISAO_12X36_NOT+MOD_4_CUSTO_REPOSICAO_12X36_NOT+MOD_5_INSUMOS_12X36_NOT+AL_6_A_CUSTOS_INDIRETOS_12X36_NOT+AL_6_B_LUCRO_12X36_NOT)*PERC_PIS%)/(1-PERC_TRIBUTOS%)</f>
        <v>40.03</v>
      </c>
    </row>
    <row r="90" spans="2:6" x14ac:dyDescent="0.4">
      <c r="B90" s="30" t="s">
        <v>80</v>
      </c>
      <c r="C90" s="327" t="s">
        <v>24</v>
      </c>
      <c r="D90" s="327"/>
      <c r="E90" s="62">
        <f>PERC_COFINS</f>
        <v>3</v>
      </c>
      <c r="F90" s="64">
        <f>((MOD_1_REMUNERACAO_12X36_NOT+MOD_2_ENCARGOS_BENEFICIOS_12X36_NOT+MOD_3_PROVISAO_RESCISAO_12X36_NOT+MOD_4_CUSTO_REPOSICAO_12X36_NOT+MOD_5_INSUMOS_12X36_NOT+AL_6_A_CUSTOS_INDIRETOS_12X36_NOT+AL_6_B_LUCRO_12X36_NOT)*PERC_COFINS%)/(1-PERC_TRIBUTOS%)</f>
        <v>184.76</v>
      </c>
    </row>
    <row r="91" spans="2:6" s="108" customFormat="1" x14ac:dyDescent="0.4">
      <c r="B91" s="30" t="s">
        <v>81</v>
      </c>
      <c r="C91" s="326" t="s">
        <v>25</v>
      </c>
      <c r="D91" s="326"/>
      <c r="E91" s="31">
        <f>PERC_ISS</f>
        <v>5</v>
      </c>
      <c r="F91" s="63">
        <f>((MOD_1_REMUNERACAO_12X36_NOT+MOD_2_ENCARGOS_BENEFICIOS_12X36_NOT+MOD_3_PROVISAO_RESCISAO_12X36_NOT+MOD_4_CUSTO_REPOSICAO_12X36_NOT+MOD_5_INSUMOS_12X36_NOT+AL_6_A_CUSTOS_INDIRETOS_12X36_NOT+AL_6_B_LUCRO_12X36_NOT)*PERC_ISS%)/(1-PERC_TRIBUTOS%)</f>
        <v>307.93</v>
      </c>
    </row>
    <row r="92" spans="2:6" s="108" customFormat="1" x14ac:dyDescent="0.4">
      <c r="B92" s="268" t="s">
        <v>46</v>
      </c>
      <c r="C92" s="269"/>
      <c r="D92" s="269"/>
      <c r="E92" s="270"/>
      <c r="F92" s="37">
        <f>AL_6_A_CUSTOS_INDIRETOS_12X36_NOT+AL_6_B_LUCRO_12X36_NOT+AL_6_C_TRIBUTOS_12X36_NOT</f>
        <v>1070.28</v>
      </c>
    </row>
    <row r="93" spans="2:6" s="108" customFormat="1" x14ac:dyDescent="0.4">
      <c r="B93" s="264" t="s">
        <v>261</v>
      </c>
      <c r="C93" s="264"/>
      <c r="D93" s="264"/>
      <c r="E93" s="264"/>
      <c r="F93" s="264"/>
    </row>
    <row r="94" spans="2:6" s="108" customFormat="1" x14ac:dyDescent="0.4">
      <c r="B94" s="147" t="s">
        <v>2</v>
      </c>
      <c r="C94" s="275" t="str">
        <f>'INSERÇÃO-DE-DADOS'!C86:E86</f>
        <v>Dia do Vigilante - Clausula 82ª CCT - Jornada 12x36 noturno</v>
      </c>
      <c r="D94" s="276"/>
      <c r="E94" s="277"/>
      <c r="F94" s="57">
        <f>'INSERÇÃO-DE-DADOS'!F86</f>
        <v>11.69</v>
      </c>
    </row>
    <row r="95" spans="2:6" s="108" customFormat="1" ht="20.399999999999999" x14ac:dyDescent="0.4">
      <c r="B95" s="52" t="s">
        <v>53</v>
      </c>
      <c r="C95" s="15"/>
      <c r="D95" s="15"/>
      <c r="E95" s="15"/>
      <c r="F95" s="23"/>
    </row>
    <row r="96" spans="2:6" s="109" customFormat="1" ht="16.5" customHeight="1" x14ac:dyDescent="0.4">
      <c r="B96" s="2" t="s">
        <v>98</v>
      </c>
      <c r="C96" s="257" t="s">
        <v>99</v>
      </c>
      <c r="D96" s="258"/>
      <c r="E96" s="259"/>
      <c r="F96" s="4" t="s">
        <v>17</v>
      </c>
    </row>
    <row r="97" spans="2:6" s="108" customFormat="1" x14ac:dyDescent="0.4">
      <c r="B97" s="1">
        <v>1</v>
      </c>
      <c r="C97" s="298" t="s">
        <v>9</v>
      </c>
      <c r="D97" s="298"/>
      <c r="E97" s="298"/>
      <c r="F97" s="58">
        <f>MOD_1_REMUNERACAO_12X36_NOT</f>
        <v>2291.19</v>
      </c>
    </row>
    <row r="98" spans="2:6" s="110" customFormat="1" ht="16.5" customHeight="1" x14ac:dyDescent="0.4">
      <c r="B98" s="2">
        <v>2</v>
      </c>
      <c r="C98" s="300" t="s">
        <v>100</v>
      </c>
      <c r="D98" s="300"/>
      <c r="E98" s="300"/>
      <c r="F98" s="36">
        <f>MOD_2_ENCARGOS_BENEFICIOS_12X36_NOT</f>
        <v>1701.84</v>
      </c>
    </row>
    <row r="99" spans="2:6" s="110" customFormat="1" x14ac:dyDescent="0.4">
      <c r="B99" s="2">
        <v>3</v>
      </c>
      <c r="C99" s="298" t="s">
        <v>48</v>
      </c>
      <c r="D99" s="298"/>
      <c r="E99" s="298"/>
      <c r="F99" s="58">
        <f>MOD_3_PROVISAO_RESCISAO_12X36_NOT</f>
        <v>56.57</v>
      </c>
    </row>
    <row r="100" spans="2:6" s="110" customFormat="1" x14ac:dyDescent="0.4">
      <c r="B100" s="2">
        <v>4</v>
      </c>
      <c r="C100" s="300" t="s">
        <v>51</v>
      </c>
      <c r="D100" s="300"/>
      <c r="E100" s="300"/>
      <c r="F100" s="36">
        <f>MOD_4_CUSTO_REPOSICAO_12X36_NOT</f>
        <v>708.6</v>
      </c>
    </row>
    <row r="101" spans="2:6" s="110" customFormat="1" x14ac:dyDescent="0.4">
      <c r="B101" s="2">
        <v>5</v>
      </c>
      <c r="C101" s="298" t="s">
        <v>0</v>
      </c>
      <c r="D101" s="298"/>
      <c r="E101" s="298"/>
      <c r="F101" s="58">
        <f>MOD_5_INSUMOS_12X36_NOT</f>
        <v>330.2</v>
      </c>
    </row>
    <row r="102" spans="2:6" s="110" customFormat="1" x14ac:dyDescent="0.4">
      <c r="B102" s="2">
        <v>6</v>
      </c>
      <c r="C102" s="300" t="s">
        <v>20</v>
      </c>
      <c r="D102" s="300"/>
      <c r="E102" s="300"/>
      <c r="F102" s="36">
        <f>MOD_6_CUSTOS_IND_LUCRO_TRIB_12X36_NOT</f>
        <v>1070.28</v>
      </c>
    </row>
    <row r="103" spans="2:6" s="110" customFormat="1" ht="33.6" x14ac:dyDescent="0.4">
      <c r="B103" s="2">
        <v>7</v>
      </c>
      <c r="C103" s="149" t="str">
        <f>C94</f>
        <v>Dia do Vigilante - Clausula 82ª CCT - Jornada 12x36 noturno</v>
      </c>
      <c r="D103" s="146"/>
      <c r="E103" s="146"/>
      <c r="F103" s="36">
        <f>F94</f>
        <v>11.69</v>
      </c>
    </row>
    <row r="104" spans="2:6" ht="16.5" customHeight="1" x14ac:dyDescent="0.4">
      <c r="B104" s="302" t="s">
        <v>101</v>
      </c>
      <c r="C104" s="302"/>
      <c r="D104" s="302"/>
      <c r="E104" s="302"/>
      <c r="F104" s="37">
        <f>SUM(F97:F103)</f>
        <v>6170.37</v>
      </c>
    </row>
    <row r="105" spans="2:6" ht="16.5" customHeight="1" x14ac:dyDescent="0.4">
      <c r="B105" s="302" t="s">
        <v>30</v>
      </c>
      <c r="C105" s="302"/>
      <c r="D105" s="302"/>
      <c r="E105" s="302"/>
      <c r="F105" s="37">
        <f>VALOR_TOTAL_EMPREGADO_12x36_NOT*EMPREG_POR_POSTO_12X36_NOT</f>
        <v>12340.74</v>
      </c>
    </row>
  </sheetData>
  <mergeCells count="93">
    <mergeCell ref="B93:F93"/>
    <mergeCell ref="C94:E94"/>
    <mergeCell ref="C102:E102"/>
    <mergeCell ref="B104:E104"/>
    <mergeCell ref="B105:E105"/>
    <mergeCell ref="C96:E96"/>
    <mergeCell ref="C97:E97"/>
    <mergeCell ref="C98:E98"/>
    <mergeCell ref="C99:E99"/>
    <mergeCell ref="C100:E100"/>
    <mergeCell ref="C101:E101"/>
    <mergeCell ref="B92:E92"/>
    <mergeCell ref="C80:E80"/>
    <mergeCell ref="C81:E81"/>
    <mergeCell ref="B82:E82"/>
    <mergeCell ref="B84:F84"/>
    <mergeCell ref="C85:D85"/>
    <mergeCell ref="C86:D86"/>
    <mergeCell ref="C87:D87"/>
    <mergeCell ref="C88:D88"/>
    <mergeCell ref="C89:D89"/>
    <mergeCell ref="C90:D90"/>
    <mergeCell ref="C91:D91"/>
    <mergeCell ref="C79:E79"/>
    <mergeCell ref="C66:D66"/>
    <mergeCell ref="C67:D67"/>
    <mergeCell ref="C68:D68"/>
    <mergeCell ref="C69:D69"/>
    <mergeCell ref="B70:E70"/>
    <mergeCell ref="C72:E72"/>
    <mergeCell ref="C73:E73"/>
    <mergeCell ref="B74:E74"/>
    <mergeCell ref="C77:E77"/>
    <mergeCell ref="C78:E78"/>
    <mergeCell ref="C65:D65"/>
    <mergeCell ref="C50:E50"/>
    <mergeCell ref="C51:E51"/>
    <mergeCell ref="C52:E52"/>
    <mergeCell ref="B53:E53"/>
    <mergeCell ref="C55:D55"/>
    <mergeCell ref="C56:D56"/>
    <mergeCell ref="C57:D57"/>
    <mergeCell ref="C58:D58"/>
    <mergeCell ref="B59:E59"/>
    <mergeCell ref="C63:D63"/>
    <mergeCell ref="C64:D64"/>
    <mergeCell ref="C49:E49"/>
    <mergeCell ref="C37:D37"/>
    <mergeCell ref="C38:D38"/>
    <mergeCell ref="C39:D39"/>
    <mergeCell ref="C40:D40"/>
    <mergeCell ref="C41:D41"/>
    <mergeCell ref="C42:D42"/>
    <mergeCell ref="C43:D43"/>
    <mergeCell ref="C44:D44"/>
    <mergeCell ref="B45:E45"/>
    <mergeCell ref="C47:E47"/>
    <mergeCell ref="C48:E48"/>
    <mergeCell ref="C36:D36"/>
    <mergeCell ref="C24:E24"/>
    <mergeCell ref="C25:E25"/>
    <mergeCell ref="C26:E26"/>
    <mergeCell ref="C27:E27"/>
    <mergeCell ref="B28:E28"/>
    <mergeCell ref="C31:D31"/>
    <mergeCell ref="C32:D32"/>
    <mergeCell ref="C33:D33"/>
    <mergeCell ref="B34:E34"/>
    <mergeCell ref="B35:F35"/>
    <mergeCell ref="C23:E23"/>
    <mergeCell ref="C11:E11"/>
    <mergeCell ref="C12:E12"/>
    <mergeCell ref="C14:D14"/>
    <mergeCell ref="E14:F14"/>
    <mergeCell ref="D15:F15"/>
    <mergeCell ref="D16:F16"/>
    <mergeCell ref="C17:E17"/>
    <mergeCell ref="B18:F18"/>
    <mergeCell ref="B19:E19"/>
    <mergeCell ref="C21:E21"/>
    <mergeCell ref="C22:E22"/>
    <mergeCell ref="C10:E10"/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9"/>
  <sheetViews>
    <sheetView zoomScaleNormal="100" zoomScaleSheetLayoutView="100" workbookViewId="0">
      <selection activeCell="F76" sqref="F76"/>
    </sheetView>
  </sheetViews>
  <sheetFormatPr defaultColWidth="9.109375" defaultRowHeight="16.8" x14ac:dyDescent="0.4"/>
  <cols>
    <col min="1" max="1" width="2.6640625" style="13" customWidth="1"/>
    <col min="2" max="2" width="8.6640625" style="13" customWidth="1"/>
    <col min="3" max="3" width="52.5546875" style="19" customWidth="1"/>
    <col min="4" max="4" width="7.88671875" style="19" customWidth="1"/>
    <col min="5" max="5" width="13.5546875" style="19" customWidth="1"/>
    <col min="6" max="6" width="15.44140625" style="19" bestFit="1" customWidth="1"/>
    <col min="7" max="16384" width="9.109375" style="13"/>
  </cols>
  <sheetData>
    <row r="1" spans="2:6" ht="20.399999999999999" x14ac:dyDescent="0.45">
      <c r="B1" s="313" t="str">
        <f>RAMO</f>
        <v>RAMO: MINISTÉRIO PÚBLIC FEDERAL</v>
      </c>
      <c r="C1" s="314"/>
      <c r="D1" s="314"/>
      <c r="E1" s="314"/>
      <c r="F1" s="315"/>
    </row>
    <row r="2" spans="2:6" ht="20.399999999999999" x14ac:dyDescent="0.45">
      <c r="B2" s="316" t="str">
        <f>UG</f>
        <v>UNIDADE GESTORA (SIGLA): PR-PA</v>
      </c>
      <c r="C2" s="317"/>
      <c r="D2" s="318"/>
      <c r="E2" s="113" t="s">
        <v>57</v>
      </c>
      <c r="F2" s="114" t="str">
        <f>DATA_DO_ORCAMENTO_ESTIMATIVO</f>
        <v>XX/XX/20XX</v>
      </c>
    </row>
    <row r="3" spans="2:6" s="98" customFormat="1" ht="24.6" x14ac:dyDescent="0.55000000000000004">
      <c r="B3" s="281" t="s">
        <v>56</v>
      </c>
      <c r="C3" s="281"/>
      <c r="D3" s="281"/>
      <c r="E3" s="281"/>
      <c r="F3" s="281"/>
    </row>
    <row r="4" spans="2:6" s="98" customFormat="1" ht="15.9" customHeight="1" x14ac:dyDescent="0.4">
      <c r="B4" s="282" t="s">
        <v>97</v>
      </c>
      <c r="C4" s="282"/>
      <c r="D4" s="282"/>
      <c r="E4" s="282"/>
      <c r="F4" s="282"/>
    </row>
    <row r="5" spans="2:6" s="98" customFormat="1" ht="15.9" customHeight="1" x14ac:dyDescent="0.4">
      <c r="B5" s="285" t="s">
        <v>223</v>
      </c>
      <c r="C5" s="285"/>
      <c r="D5" s="319" t="str">
        <f>NUMERO_PROCESSO</f>
        <v>1.23.000.000855/2020-32</v>
      </c>
      <c r="E5" s="319"/>
      <c r="F5" s="319"/>
    </row>
    <row r="6" spans="2:6" s="98" customFormat="1" ht="15.75" customHeight="1" x14ac:dyDescent="0.4">
      <c r="B6" s="289" t="s">
        <v>224</v>
      </c>
      <c r="C6" s="289"/>
      <c r="D6" s="320" t="str">
        <f>MODALIDADE_DE_LICITACAO</f>
        <v>Pregão nº</v>
      </c>
      <c r="E6" s="320"/>
      <c r="F6" s="118" t="str">
        <f>NUMERO_PREGAO</f>
        <v>XX/20XX</v>
      </c>
    </row>
    <row r="7" spans="2:6" s="99" customFormat="1" ht="15.75" customHeight="1" x14ac:dyDescent="0.45">
      <c r="B7" s="321" t="s">
        <v>58</v>
      </c>
      <c r="C7" s="321"/>
      <c r="D7" s="321"/>
      <c r="E7" s="321"/>
      <c r="F7" s="321"/>
    </row>
    <row r="8" spans="2:6" s="98" customFormat="1" ht="18" customHeight="1" x14ac:dyDescent="0.4">
      <c r="B8" s="25" t="s">
        <v>2</v>
      </c>
      <c r="C8" s="285" t="s">
        <v>63</v>
      </c>
      <c r="D8" s="285"/>
      <c r="E8" s="285"/>
      <c r="F8" s="119" t="str">
        <f>DATA_APRESENTACAO_PROPOSTA</f>
        <v>XX/XX/20XX</v>
      </c>
    </row>
    <row r="9" spans="2:6" s="98" customFormat="1" ht="15.9" customHeight="1" x14ac:dyDescent="0.25">
      <c r="B9" s="1" t="s">
        <v>3</v>
      </c>
      <c r="C9" s="67" t="s">
        <v>36</v>
      </c>
      <c r="D9" s="311" t="s">
        <v>271</v>
      </c>
      <c r="E9" s="311"/>
      <c r="F9" s="311"/>
    </row>
    <row r="10" spans="2:6" s="98" customFormat="1" ht="18.75" customHeight="1" x14ac:dyDescent="0.4">
      <c r="B10" s="25" t="s">
        <v>4</v>
      </c>
      <c r="C10" s="285" t="s">
        <v>37</v>
      </c>
      <c r="D10" s="285"/>
      <c r="E10" s="285"/>
      <c r="F10" s="120" t="str">
        <f>ACORDO_COLETIVO</f>
        <v>CCT 2020/2021</v>
      </c>
    </row>
    <row r="11" spans="2:6" s="98" customFormat="1" ht="15.9" customHeight="1" x14ac:dyDescent="0.4">
      <c r="B11" s="1" t="s">
        <v>5</v>
      </c>
      <c r="C11" s="311" t="s">
        <v>64</v>
      </c>
      <c r="D11" s="311"/>
      <c r="E11" s="311"/>
      <c r="F11" s="121">
        <f>NUMERO_MESES_EXEC_CONTRATUAL</f>
        <v>12</v>
      </c>
    </row>
    <row r="12" spans="2:6" s="98" customFormat="1" x14ac:dyDescent="0.4">
      <c r="B12" s="1" t="s">
        <v>6</v>
      </c>
      <c r="C12" s="312" t="s">
        <v>85</v>
      </c>
      <c r="D12" s="312"/>
      <c r="E12" s="312"/>
      <c r="F12" s="102">
        <v>2</v>
      </c>
    </row>
    <row r="13" spans="2:6" s="98" customFormat="1" ht="7.5" customHeight="1" x14ac:dyDescent="0.4">
      <c r="B13" s="122"/>
      <c r="C13" s="123"/>
      <c r="D13" s="123"/>
      <c r="E13" s="123"/>
      <c r="F13" s="104"/>
    </row>
    <row r="14" spans="2:6" s="98" customFormat="1" ht="21" customHeight="1" x14ac:dyDescent="0.55000000000000004">
      <c r="B14" s="106" t="s">
        <v>205</v>
      </c>
      <c r="C14" s="13"/>
      <c r="D14" s="13"/>
      <c r="E14" s="13"/>
      <c r="F14" s="13"/>
    </row>
    <row r="15" spans="2:6" s="98" customFormat="1" x14ac:dyDescent="0.4">
      <c r="B15" s="25">
        <v>1</v>
      </c>
      <c r="C15" s="343" t="s">
        <v>60</v>
      </c>
      <c r="D15" s="344"/>
      <c r="E15" s="340" t="str">
        <f>TIPO_DE_SERVICO</f>
        <v>Vigilância</v>
      </c>
      <c r="F15" s="342"/>
    </row>
    <row r="16" spans="2:6" s="99" customFormat="1" x14ac:dyDescent="0.4">
      <c r="B16" s="25">
        <v>2</v>
      </c>
      <c r="C16" s="27" t="s">
        <v>59</v>
      </c>
      <c r="D16" s="334" t="str">
        <f>CBO</f>
        <v>5173-30</v>
      </c>
      <c r="E16" s="335"/>
      <c r="F16" s="336"/>
    </row>
    <row r="17" spans="2:6" s="98" customFormat="1" ht="15" customHeight="1" x14ac:dyDescent="0.4">
      <c r="B17" s="25">
        <v>3</v>
      </c>
      <c r="C17" s="56" t="s">
        <v>61</v>
      </c>
      <c r="D17" s="340" t="str">
        <f>CATEGORIA_PROFISSIONAL</f>
        <v>Vigilante</v>
      </c>
      <c r="E17" s="341"/>
      <c r="F17" s="342"/>
    </row>
    <row r="18" spans="2:6" s="98" customFormat="1" ht="15" customHeight="1" x14ac:dyDescent="0.4">
      <c r="B18" s="25">
        <v>4</v>
      </c>
      <c r="C18" s="337" t="s">
        <v>62</v>
      </c>
      <c r="D18" s="338"/>
      <c r="E18" s="339"/>
      <c r="F18" s="135">
        <f>DATA_BASE_CATEGORIA</f>
        <v>43831</v>
      </c>
    </row>
    <row r="19" spans="2:6" s="98" customFormat="1" ht="15" customHeight="1" x14ac:dyDescent="0.4">
      <c r="B19" s="28"/>
      <c r="C19" s="29"/>
      <c r="D19" s="29"/>
      <c r="E19" s="29"/>
      <c r="F19" s="105"/>
    </row>
    <row r="20" spans="2:6" s="124" customFormat="1" ht="30" customHeight="1" x14ac:dyDescent="0.4">
      <c r="B20" s="322" t="s">
        <v>40</v>
      </c>
      <c r="C20" s="322"/>
      <c r="D20" s="322"/>
      <c r="E20" s="322"/>
      <c r="F20" s="322"/>
    </row>
    <row r="21" spans="2:6" x14ac:dyDescent="0.4">
      <c r="B21" s="260" t="s">
        <v>52</v>
      </c>
      <c r="C21" s="260"/>
      <c r="D21" s="260"/>
      <c r="E21" s="260"/>
      <c r="F21" s="117">
        <v>1</v>
      </c>
    </row>
    <row r="22" spans="2:6" x14ac:dyDescent="0.4">
      <c r="B22" s="51" t="s">
        <v>8</v>
      </c>
      <c r="E22" s="14"/>
      <c r="F22" s="14"/>
    </row>
    <row r="23" spans="2:6" x14ac:dyDescent="0.4">
      <c r="B23" s="49">
        <v>1</v>
      </c>
      <c r="C23" s="271" t="s">
        <v>9</v>
      </c>
      <c r="D23" s="271"/>
      <c r="E23" s="271"/>
      <c r="F23" s="50" t="s">
        <v>13</v>
      </c>
    </row>
    <row r="24" spans="2:6" x14ac:dyDescent="0.4">
      <c r="B24" s="49" t="s">
        <v>2</v>
      </c>
      <c r="C24" s="332" t="s">
        <v>92</v>
      </c>
      <c r="D24" s="332"/>
      <c r="E24" s="332"/>
      <c r="F24" s="57">
        <f>SALARIO_BASE</f>
        <v>1401.07</v>
      </c>
    </row>
    <row r="25" spans="2:6" x14ac:dyDescent="0.4">
      <c r="B25" s="49" t="s">
        <v>3</v>
      </c>
      <c r="C25" s="273" t="s">
        <v>94</v>
      </c>
      <c r="D25" s="273"/>
      <c r="E25" s="273"/>
      <c r="F25" s="10">
        <f>PERC_ADIC_PERIC%*SALARIO_BASE</f>
        <v>420.32</v>
      </c>
    </row>
    <row r="26" spans="2:6" x14ac:dyDescent="0.4">
      <c r="B26" s="1" t="s">
        <v>4</v>
      </c>
      <c r="C26" s="275" t="str">
        <f>OUTROS_REMUNERACAO_1_DESCRICAO</f>
        <v>DSR - Adicional noturno - 1/6</v>
      </c>
      <c r="D26" s="276"/>
      <c r="E26" s="277"/>
      <c r="F26" s="57">
        <f>OUTROS_REMUNERACAO_1</f>
        <v>0</v>
      </c>
    </row>
    <row r="27" spans="2:6" x14ac:dyDescent="0.4">
      <c r="B27" s="1" t="s">
        <v>5</v>
      </c>
      <c r="C27" s="305" t="str">
        <f>OUTROS_REMUNERACAO_2_DESCRICAO</f>
        <v>DSR - Hora noturna reduzida - 1/6</v>
      </c>
      <c r="D27" s="306"/>
      <c r="E27" s="307"/>
      <c r="F27" s="10">
        <f>OUTROS_REMUNERACAO_2</f>
        <v>0</v>
      </c>
    </row>
    <row r="28" spans="2:6" x14ac:dyDescent="0.4">
      <c r="B28" s="328" t="s">
        <v>46</v>
      </c>
      <c r="C28" s="328"/>
      <c r="D28" s="328"/>
      <c r="E28" s="328"/>
      <c r="F28" s="43">
        <f>SUM(F24:F27)</f>
        <v>1821.39</v>
      </c>
    </row>
    <row r="29" spans="2:6" ht="10.5" customHeight="1" x14ac:dyDescent="0.4">
      <c r="B29" s="16"/>
      <c r="C29" s="17"/>
      <c r="D29" s="18"/>
      <c r="E29" s="14"/>
      <c r="F29" s="14"/>
    </row>
    <row r="30" spans="2:6" x14ac:dyDescent="0.4">
      <c r="B30" s="51" t="s">
        <v>65</v>
      </c>
      <c r="E30" s="21"/>
      <c r="F30" s="21"/>
    </row>
    <row r="31" spans="2:6" x14ac:dyDescent="0.4">
      <c r="B31" s="51" t="s">
        <v>67</v>
      </c>
      <c r="C31" s="12"/>
      <c r="D31" s="22"/>
      <c r="E31" s="20"/>
      <c r="F31" s="20"/>
    </row>
    <row r="32" spans="2:6" x14ac:dyDescent="0.4">
      <c r="B32" s="49" t="s">
        <v>66</v>
      </c>
      <c r="C32" s="333" t="s">
        <v>93</v>
      </c>
      <c r="D32" s="333"/>
      <c r="E32" s="50" t="s">
        <v>1</v>
      </c>
      <c r="F32" s="50" t="s">
        <v>13</v>
      </c>
    </row>
    <row r="33" spans="2:6" x14ac:dyDescent="0.4">
      <c r="B33" s="49" t="s">
        <v>2</v>
      </c>
      <c r="C33" s="272" t="s">
        <v>47</v>
      </c>
      <c r="D33" s="272"/>
      <c r="E33" s="65">
        <f>(1/12)*100</f>
        <v>8.33</v>
      </c>
      <c r="F33" s="58">
        <f>PERC_DEC_TERC%*MOD_1_REMUNERACAO_44H</f>
        <v>151.72</v>
      </c>
    </row>
    <row r="34" spans="2:6" s="17" customFormat="1" x14ac:dyDescent="0.4">
      <c r="B34" s="45" t="s">
        <v>3</v>
      </c>
      <c r="C34" s="251" t="s">
        <v>95</v>
      </c>
      <c r="D34" s="253"/>
      <c r="E34" s="54">
        <f>(1/3)/12*100</f>
        <v>2.78</v>
      </c>
      <c r="F34" s="36">
        <f>PERC_ADIC_FERIAS%*MOD_1_REMUNERACAO_44H</f>
        <v>50.63</v>
      </c>
    </row>
    <row r="35" spans="2:6" s="107" customFormat="1" x14ac:dyDescent="0.4">
      <c r="B35" s="345" t="s">
        <v>46</v>
      </c>
      <c r="C35" s="346"/>
      <c r="D35" s="346"/>
      <c r="E35" s="347"/>
      <c r="F35" s="41">
        <f>SUM(F33:F34)</f>
        <v>202.35</v>
      </c>
    </row>
    <row r="36" spans="2:6" s="107" customFormat="1" ht="31.5" customHeight="1" x14ac:dyDescent="0.4">
      <c r="B36" s="348" t="s">
        <v>68</v>
      </c>
      <c r="C36" s="348"/>
      <c r="D36" s="348"/>
      <c r="E36" s="348"/>
      <c r="F36" s="348"/>
    </row>
    <row r="37" spans="2:6" s="107" customFormat="1" ht="33.75" customHeight="1" x14ac:dyDescent="0.4">
      <c r="B37" s="49" t="s">
        <v>69</v>
      </c>
      <c r="C37" s="349" t="s">
        <v>96</v>
      </c>
      <c r="D37" s="349"/>
      <c r="E37" s="50" t="s">
        <v>1</v>
      </c>
      <c r="F37" s="50" t="s">
        <v>13</v>
      </c>
    </row>
    <row r="38" spans="2:6" x14ac:dyDescent="0.4">
      <c r="B38" s="49" t="s">
        <v>2</v>
      </c>
      <c r="C38" s="272" t="s">
        <v>41</v>
      </c>
      <c r="D38" s="272"/>
      <c r="E38" s="65">
        <v>20</v>
      </c>
      <c r="F38" s="58">
        <f>PERC_INSS%*(MOD_1_REMUNERACAO_44H+SUBMOD_2_1_DEC_TERC_ADIC_FERIAS_44H)</f>
        <v>404.75</v>
      </c>
    </row>
    <row r="39" spans="2:6" s="98" customFormat="1" x14ac:dyDescent="0.25">
      <c r="B39" s="45" t="s">
        <v>3</v>
      </c>
      <c r="C39" s="273" t="s">
        <v>43</v>
      </c>
      <c r="D39" s="273"/>
      <c r="E39" s="55">
        <v>2.5</v>
      </c>
      <c r="F39" s="36">
        <f>PERC_SAL_EDUCACAO%*(MOD_1_REMUNERACAO_44H+SUBMOD_2_1_DEC_TERC_ADIC_FERIAS_44H)</f>
        <v>50.59</v>
      </c>
    </row>
    <row r="40" spans="2:6" s="98" customFormat="1" x14ac:dyDescent="0.25">
      <c r="B40" s="45" t="s">
        <v>4</v>
      </c>
      <c r="C40" s="275" t="s">
        <v>236</v>
      </c>
      <c r="D40" s="276"/>
      <c r="E40" s="65">
        <v>3</v>
      </c>
      <c r="F40" s="58">
        <f>PERC_RAT%*(MOD_1_REMUNERACAO_44H+SUBMOD_2_1_DEC_TERC_ADIC_FERIAS_44H)</f>
        <v>121.42</v>
      </c>
    </row>
    <row r="41" spans="2:6" s="98" customFormat="1" x14ac:dyDescent="0.25">
      <c r="B41" s="45" t="s">
        <v>5</v>
      </c>
      <c r="C41" s="273" t="s">
        <v>88</v>
      </c>
      <c r="D41" s="273"/>
      <c r="E41" s="54">
        <v>1.5</v>
      </c>
      <c r="F41" s="36">
        <f>PERC_SESC%*(MOD_1_REMUNERACAO_44H+SUBMOD_2_1_DEC_TERC_ADIC_FERIAS_44H)</f>
        <v>30.36</v>
      </c>
    </row>
    <row r="42" spans="2:6" s="98" customFormat="1" x14ac:dyDescent="0.25">
      <c r="B42" s="45" t="s">
        <v>6</v>
      </c>
      <c r="C42" s="272" t="s">
        <v>89</v>
      </c>
      <c r="D42" s="272"/>
      <c r="E42" s="65">
        <v>1</v>
      </c>
      <c r="F42" s="58">
        <f>PERC_SENAC%*(MOD_1_REMUNERACAO_44H+SUBMOD_2_1_DEC_TERC_ADIC_FERIAS_44H)</f>
        <v>20.239999999999998</v>
      </c>
    </row>
    <row r="43" spans="2:6" s="99" customFormat="1" x14ac:dyDescent="0.25">
      <c r="B43" s="45" t="s">
        <v>7</v>
      </c>
      <c r="C43" s="273" t="s">
        <v>45</v>
      </c>
      <c r="D43" s="273"/>
      <c r="E43" s="55">
        <v>0.6</v>
      </c>
      <c r="F43" s="36">
        <f>PERC_SEBRAE%*(MOD_1_REMUNERACAO_44H+SUBMOD_2_1_DEC_TERC_ADIC_FERIAS_44H)</f>
        <v>12.14</v>
      </c>
    </row>
    <row r="44" spans="2:6" s="99" customFormat="1" x14ac:dyDescent="0.25">
      <c r="B44" s="45" t="s">
        <v>10</v>
      </c>
      <c r="C44" s="272" t="s">
        <v>42</v>
      </c>
      <c r="D44" s="272"/>
      <c r="E44" s="65">
        <v>0.2</v>
      </c>
      <c r="F44" s="58">
        <f>PERC_INCRA%*(MOD_1_REMUNERACAO_44H+SUBMOD_2_1_DEC_TERC_ADIC_FERIAS_44H)</f>
        <v>4.05</v>
      </c>
    </row>
    <row r="45" spans="2:6" x14ac:dyDescent="0.4">
      <c r="B45" s="45" t="s">
        <v>11</v>
      </c>
      <c r="C45" s="273" t="s">
        <v>44</v>
      </c>
      <c r="D45" s="273"/>
      <c r="E45" s="55">
        <v>8</v>
      </c>
      <c r="F45" s="36">
        <f>PERC_FGTS%*(MOD_1_REMUNERACAO_44H+SUBMOD_2_1_DEC_TERC_ADIC_FERIAS_44H)</f>
        <v>161.9</v>
      </c>
    </row>
    <row r="46" spans="2:6" x14ac:dyDescent="0.4">
      <c r="B46" s="345" t="s">
        <v>46</v>
      </c>
      <c r="C46" s="346"/>
      <c r="D46" s="346"/>
      <c r="E46" s="347"/>
      <c r="F46" s="42">
        <f>SUM(F38:F45)</f>
        <v>805.45</v>
      </c>
    </row>
    <row r="47" spans="2:6" ht="15.75" customHeight="1" x14ac:dyDescent="0.4">
      <c r="B47" s="51" t="s">
        <v>71</v>
      </c>
      <c r="C47" s="99"/>
      <c r="D47" s="99"/>
      <c r="E47" s="99"/>
      <c r="F47" s="99"/>
    </row>
    <row r="48" spans="2:6" ht="15.75" customHeight="1" x14ac:dyDescent="0.4">
      <c r="B48" s="49" t="s">
        <v>90</v>
      </c>
      <c r="C48" s="271" t="s">
        <v>14</v>
      </c>
      <c r="D48" s="271"/>
      <c r="E48" s="271"/>
      <c r="F48" s="50" t="s">
        <v>13</v>
      </c>
    </row>
    <row r="49" spans="2:7" x14ac:dyDescent="0.4">
      <c r="B49" s="44" t="s">
        <v>2</v>
      </c>
      <c r="C49" s="275" t="s">
        <v>15</v>
      </c>
      <c r="D49" s="276"/>
      <c r="E49" s="277"/>
      <c r="F49" s="58">
        <f>IF((((3*2)*DIAS_UTEIS_TRABALHADOS_NO_MES_44HORAS)-(PERC_DESC_TRANSP_REMUNERACAO%*(SALARIO_BASE)))&gt;0,(((3*2)*DIAS_UTEIS_TRABALHADOS_NO_MES_44HORAS)-(PERC_DESC_TRANSP_REMUNERACAO%*(SALARIO_BASE))),0)</f>
        <v>47.94</v>
      </c>
    </row>
    <row r="50" spans="2:7" s="107" customFormat="1" x14ac:dyDescent="0.4">
      <c r="B50" s="44" t="s">
        <v>3</v>
      </c>
      <c r="C50" s="251" t="s">
        <v>70</v>
      </c>
      <c r="D50" s="252"/>
      <c r="E50" s="253"/>
      <c r="F50" s="36">
        <f>ALIMENTACAO_POR_DIA*DIAS_UTEIS_TRABALHADOS_NO_MES_44HORAS*0.99</f>
        <v>566.28</v>
      </c>
      <c r="G50" s="13" t="s">
        <v>238</v>
      </c>
    </row>
    <row r="51" spans="2:7" s="107" customFormat="1" x14ac:dyDescent="0.4">
      <c r="B51" s="25" t="s">
        <v>4</v>
      </c>
      <c r="C51" s="275" t="str">
        <f>OUTROS_BENEFICIOS_1_DESCRICAO</f>
        <v>Auxílio saúde</v>
      </c>
      <c r="D51" s="276"/>
      <c r="E51" s="277"/>
      <c r="F51" s="58"/>
      <c r="G51" s="13"/>
    </row>
    <row r="52" spans="2:7" s="107" customFormat="1" x14ac:dyDescent="0.4">
      <c r="B52" s="25" t="s">
        <v>5</v>
      </c>
      <c r="C52" s="305" t="str">
        <f>OUTROS_BENEFICIOS_2_DESCRICAO</f>
        <v>Auxílio morte/funeral</v>
      </c>
      <c r="D52" s="306"/>
      <c r="E52" s="307"/>
      <c r="F52" s="36"/>
      <c r="G52" s="13"/>
    </row>
    <row r="53" spans="2:7" s="107" customFormat="1" x14ac:dyDescent="0.4">
      <c r="B53" s="25" t="s">
        <v>6</v>
      </c>
      <c r="C53" s="275" t="str">
        <f>OUTROS_BENEFICIOS_3_DESCRICAO</f>
        <v>Seguro de vida</v>
      </c>
      <c r="D53" s="276"/>
      <c r="E53" s="277"/>
      <c r="F53" s="58"/>
    </row>
    <row r="54" spans="2:7" s="107" customFormat="1" ht="15" customHeight="1" x14ac:dyDescent="0.4">
      <c r="B54" s="328" t="s">
        <v>46</v>
      </c>
      <c r="C54" s="328"/>
      <c r="D54" s="328"/>
      <c r="E54" s="328"/>
      <c r="F54" s="43">
        <f>SUM(F49:F53)</f>
        <v>614.22</v>
      </c>
    </row>
    <row r="55" spans="2:7" ht="10.5" customHeight="1" x14ac:dyDescent="0.4">
      <c r="B55" s="16"/>
      <c r="C55" s="17"/>
      <c r="D55" s="18"/>
      <c r="E55" s="14"/>
      <c r="F55" s="14"/>
    </row>
    <row r="56" spans="2:7" s="107" customFormat="1" x14ac:dyDescent="0.4">
      <c r="B56" s="51" t="s">
        <v>72</v>
      </c>
      <c r="C56" s="12"/>
      <c r="D56" s="22"/>
      <c r="E56" s="20"/>
      <c r="F56" s="20"/>
    </row>
    <row r="57" spans="2:7" s="107" customFormat="1" ht="15" customHeight="1" x14ac:dyDescent="0.4">
      <c r="B57" s="1">
        <v>3</v>
      </c>
      <c r="C57" s="260" t="s">
        <v>48</v>
      </c>
      <c r="D57" s="260"/>
      <c r="E57" s="4" t="s">
        <v>1</v>
      </c>
      <c r="F57" s="4" t="s">
        <v>13</v>
      </c>
    </row>
    <row r="58" spans="2:7" s="107" customFormat="1" x14ac:dyDescent="0.4">
      <c r="B58" s="1" t="s">
        <v>2</v>
      </c>
      <c r="C58" s="301" t="s">
        <v>49</v>
      </c>
      <c r="D58" s="301"/>
      <c r="E58" s="59">
        <f>PERC_AVISO_PREVIO_IND</f>
        <v>0.28999999999999998</v>
      </c>
      <c r="F58" s="58">
        <f>PERC_AVISO_PREVIO_IND%*(MOD_1_REMUNERACAO_44H+SUBMOD_2_1_DEC_TERC_ADIC_FERIAS_44H+AL_2_2_FGTS_44H+SUBMOD_2_3_BENEFICIOS_44H)</f>
        <v>8.1199999999999992</v>
      </c>
    </row>
    <row r="59" spans="2:7" s="107" customFormat="1" x14ac:dyDescent="0.4">
      <c r="B59" s="2" t="s">
        <v>3</v>
      </c>
      <c r="C59" s="303" t="s">
        <v>50</v>
      </c>
      <c r="D59" s="303"/>
      <c r="E59" s="46">
        <f>PERC_AVISO_PREVIO_TRAB</f>
        <v>1.1599999999999999</v>
      </c>
      <c r="F59" s="36">
        <f>PERC_AVISO_PREVIO_TRAB%*(MOD_1_REMUNERACAO_44H+SUBMOD_2_1_DEC_TERC_ADIC_FERIAS_44H+SUBMOD_2_2_GPS_FGTS_44H+SUBMOD_2_3_BENEFICIOS_44H)</f>
        <v>39.94</v>
      </c>
    </row>
    <row r="60" spans="2:7" s="98" customFormat="1" x14ac:dyDescent="0.25">
      <c r="B60" s="2" t="s">
        <v>4</v>
      </c>
      <c r="C60" s="301" t="s">
        <v>232</v>
      </c>
      <c r="D60" s="301"/>
      <c r="E60" s="59">
        <f>PERC_MULTA_FGTS_AV_PREV_TRAB</f>
        <v>0.04</v>
      </c>
      <c r="F60" s="58">
        <f>PERC_MULTA_FGTS_AV_PREV_TRAB%*(MOD_1_REMUNERACAO_44H+SUBMOD_2_1_DEC_TERC_ADIC_FERIAS_44H)</f>
        <v>0.81</v>
      </c>
    </row>
    <row r="61" spans="2:7" s="98" customFormat="1" x14ac:dyDescent="0.4">
      <c r="B61" s="268" t="s">
        <v>46</v>
      </c>
      <c r="C61" s="269"/>
      <c r="D61" s="269"/>
      <c r="E61" s="270"/>
      <c r="F61" s="41">
        <f>SUM(F58:F60)</f>
        <v>48.87</v>
      </c>
    </row>
    <row r="62" spans="2:7" ht="10.5" customHeight="1" x14ac:dyDescent="0.4">
      <c r="B62" s="16"/>
      <c r="C62" s="17"/>
      <c r="D62" s="18"/>
      <c r="E62" s="14"/>
      <c r="F62" s="14"/>
    </row>
    <row r="63" spans="2:7" s="98" customFormat="1" ht="15.9" customHeight="1" x14ac:dyDescent="0.4">
      <c r="B63" s="51" t="s">
        <v>73</v>
      </c>
      <c r="C63" s="12"/>
      <c r="D63" s="22"/>
      <c r="E63" s="13"/>
      <c r="F63" s="13"/>
    </row>
    <row r="64" spans="2:7" s="98" customFormat="1" ht="15.9" customHeight="1" x14ac:dyDescent="0.4">
      <c r="B64" s="51" t="s">
        <v>102</v>
      </c>
      <c r="C64" s="12"/>
      <c r="D64" s="22"/>
      <c r="E64" s="20"/>
      <c r="F64" s="20"/>
    </row>
    <row r="65" spans="2:6" s="98" customFormat="1" x14ac:dyDescent="0.25">
      <c r="B65" s="1" t="s">
        <v>18</v>
      </c>
      <c r="C65" s="302" t="s">
        <v>103</v>
      </c>
      <c r="D65" s="302"/>
      <c r="E65" s="4" t="s">
        <v>1</v>
      </c>
      <c r="F65" s="4" t="s">
        <v>13</v>
      </c>
    </row>
    <row r="66" spans="2:6" s="98" customFormat="1" ht="15.9" customHeight="1" x14ac:dyDescent="0.25">
      <c r="B66" s="2" t="s">
        <v>2</v>
      </c>
      <c r="C66" s="298" t="s">
        <v>104</v>
      </c>
      <c r="D66" s="298"/>
      <c r="E66" s="59">
        <f>PERC_SUBSTITUTO_FERIAS</f>
        <v>8.33</v>
      </c>
      <c r="F66" s="58">
        <f>PERC_SUBSTITUTO_FERIAS%*(MOD_1_REMUNERACAO_44H+MOD_2_ENCARGOS_BENEFICIOS_44H+MOD_3_PROVISAO_RESCISAO_44H)</f>
        <v>290.91000000000003</v>
      </c>
    </row>
    <row r="67" spans="2:6" s="98" customFormat="1" ht="15.9" customHeight="1" x14ac:dyDescent="0.25">
      <c r="B67" s="2" t="s">
        <v>3</v>
      </c>
      <c r="C67" s="300" t="s">
        <v>105</v>
      </c>
      <c r="D67" s="300"/>
      <c r="E67" s="46">
        <f>PERC_SUBSTITUTO_AUSENCIAS_LEGAIS</f>
        <v>2.2200000000000002</v>
      </c>
      <c r="F67" s="36">
        <f>PERC_SUBSTITUTO_AUSENCIAS_LEGAIS%*(MOD_1_REMUNERACAO_44H+MOD_2_ENCARGOS_BENEFICIOS_44H+MOD_3_PROVISAO_RESCISAO_44H)</f>
        <v>77.53</v>
      </c>
    </row>
    <row r="68" spans="2:6" s="98" customFormat="1" ht="15.9" customHeight="1" x14ac:dyDescent="0.25">
      <c r="B68" s="2" t="s">
        <v>4</v>
      </c>
      <c r="C68" s="298" t="s">
        <v>106</v>
      </c>
      <c r="D68" s="298"/>
      <c r="E68" s="59">
        <f>PERC_SUBSTITUTO_LICENCA_PATERNIDADE</f>
        <v>7.0000000000000007E-2</v>
      </c>
      <c r="F68" s="58">
        <f>PERC_SUBSTITUTO_LICENCA_PATERNIDADE%*(MOD_1_REMUNERACAO_44H+MOD_2_ENCARGOS_BENEFICIOS_44H+MOD_3_PROVISAO_RESCISAO_44H)</f>
        <v>2.44</v>
      </c>
    </row>
    <row r="69" spans="2:6" s="98" customFormat="1" x14ac:dyDescent="0.25">
      <c r="B69" s="2" t="s">
        <v>5</v>
      </c>
      <c r="C69" s="300" t="s">
        <v>107</v>
      </c>
      <c r="D69" s="300"/>
      <c r="E69" s="46">
        <f>PERC_SUBSTITUTO_ACID_TRAB</f>
        <v>0.02</v>
      </c>
      <c r="F69" s="36">
        <f>PERC_SUBSTITUTO_ACID_TRAB%*(MOD_1_REMUNERACAO_44H+MOD_2_ENCARGOS_BENEFICIOS_44H+MOD_3_PROVISAO_RESCISAO_44H)</f>
        <v>0.7</v>
      </c>
    </row>
    <row r="70" spans="2:6" s="98" customFormat="1" x14ac:dyDescent="0.25">
      <c r="B70" s="2" t="s">
        <v>6</v>
      </c>
      <c r="C70" s="298" t="s">
        <v>108</v>
      </c>
      <c r="D70" s="298"/>
      <c r="E70" s="59">
        <f>PERC_SUBSTITUTO_AFAST_MATERN</f>
        <v>0.04</v>
      </c>
      <c r="F70" s="58">
        <f>PERC_SUBSTITUTO_AFAST_MATERN%*(MOD_1_REMUNERACAO_44H+MOD_2_ENCARGOS_BENEFICIOS_44H+MOD_3_PROVISAO_RESCISAO_44H)</f>
        <v>1.4</v>
      </c>
    </row>
    <row r="71" spans="2:6" s="98" customFormat="1" x14ac:dyDescent="0.25">
      <c r="B71" s="2" t="s">
        <v>7</v>
      </c>
      <c r="C71" s="325" t="str">
        <f>OUTRAS_AUSENCIAS_DESCRICAO</f>
        <v>Outras Ausências (Especificar - em %)</v>
      </c>
      <c r="D71" s="300"/>
      <c r="E71" s="53">
        <f>PERC_SUBSTITUTO_OUTRAS_AUSENCIAS</f>
        <v>0</v>
      </c>
      <c r="F71" s="36">
        <f>PERC_SUBSTITUTO_OUTRAS_AUSENCIAS%*(MOD_1_REMUNERACAO_44H+MOD_2_ENCARGOS_BENEFICIOS_44H+MOD_3_PROVISAO_RESCISAO_44H)</f>
        <v>0</v>
      </c>
    </row>
    <row r="72" spans="2:6" s="98" customFormat="1" x14ac:dyDescent="0.4">
      <c r="B72" s="268" t="s">
        <v>46</v>
      </c>
      <c r="C72" s="269"/>
      <c r="D72" s="269"/>
      <c r="E72" s="270"/>
      <c r="F72" s="41">
        <f>SUM(F66:F71)</f>
        <v>372.98</v>
      </c>
    </row>
    <row r="73" spans="2:6" ht="18" customHeight="1" x14ac:dyDescent="0.4">
      <c r="B73" s="16"/>
      <c r="C73" s="17"/>
      <c r="D73" s="18"/>
      <c r="E73" s="14"/>
      <c r="F73" s="14"/>
    </row>
    <row r="74" spans="2:6" x14ac:dyDescent="0.4">
      <c r="B74" s="51" t="s">
        <v>226</v>
      </c>
      <c r="C74" s="12"/>
      <c r="D74" s="22"/>
      <c r="E74" s="20"/>
      <c r="F74" s="20"/>
    </row>
    <row r="75" spans="2:6" x14ac:dyDescent="0.4">
      <c r="B75" s="1" t="s">
        <v>19</v>
      </c>
      <c r="C75" s="144" t="s">
        <v>225</v>
      </c>
      <c r="D75" s="144"/>
      <c r="E75" s="144"/>
      <c r="F75" s="4" t="s">
        <v>13</v>
      </c>
    </row>
    <row r="76" spans="2:6" x14ac:dyDescent="0.4">
      <c r="B76" s="1" t="s">
        <v>2</v>
      </c>
      <c r="C76" s="298" t="s">
        <v>109</v>
      </c>
      <c r="D76" s="298"/>
      <c r="E76" s="298"/>
      <c r="F76" s="57">
        <f>((MOD_1_REMUNERACAO_44H+MOD_2_ENCARGOS_BENEFICIOS_44H+MOD_3_PROVISAO_RESCISAO_44H)/DIVISOR_DE_HORAS)*(('INSERÇÃO-DE-DADOS'!F70/HORA_NORMAL))*DIAS_UTEIS_TRABALHADOS_NO_MES_44HORAS</f>
        <v>349.23</v>
      </c>
    </row>
    <row r="77" spans="2:6" x14ac:dyDescent="0.4">
      <c r="B77" s="260" t="s">
        <v>46</v>
      </c>
      <c r="C77" s="260"/>
      <c r="D77" s="260"/>
      <c r="E77" s="260"/>
      <c r="F77" s="41">
        <f>SUM(F76)</f>
        <v>349.23</v>
      </c>
    </row>
    <row r="78" spans="2:6" x14ac:dyDescent="0.4">
      <c r="C78" s="13"/>
      <c r="D78" s="13"/>
      <c r="E78" s="13"/>
      <c r="F78" s="13"/>
    </row>
    <row r="79" spans="2:6" x14ac:dyDescent="0.4">
      <c r="B79" s="51" t="s">
        <v>77</v>
      </c>
      <c r="C79" s="12"/>
      <c r="D79" s="12"/>
      <c r="E79" s="20"/>
      <c r="F79" s="20"/>
    </row>
    <row r="80" spans="2:6" ht="15.75" customHeight="1" x14ac:dyDescent="0.4">
      <c r="B80" s="49">
        <v>5</v>
      </c>
      <c r="C80" s="271" t="s">
        <v>0</v>
      </c>
      <c r="D80" s="271"/>
      <c r="E80" s="271"/>
      <c r="F80" s="50" t="s">
        <v>13</v>
      </c>
    </row>
    <row r="81" spans="2:6" x14ac:dyDescent="0.4">
      <c r="B81" s="44" t="s">
        <v>2</v>
      </c>
      <c r="C81" s="272" t="s">
        <v>16</v>
      </c>
      <c r="D81" s="272"/>
      <c r="E81" s="272"/>
      <c r="F81" s="60">
        <f>UNIFORMES</f>
        <v>244.71</v>
      </c>
    </row>
    <row r="82" spans="2:6" x14ac:dyDescent="0.4">
      <c r="B82" s="44" t="s">
        <v>3</v>
      </c>
      <c r="C82" s="273" t="s">
        <v>285</v>
      </c>
      <c r="D82" s="273"/>
      <c r="E82" s="273"/>
      <c r="F82" s="47">
        <f>MATERIAIS</f>
        <v>77.400000000000006</v>
      </c>
    </row>
    <row r="83" spans="2:6" x14ac:dyDescent="0.4">
      <c r="B83" s="44" t="s">
        <v>4</v>
      </c>
      <c r="C83" s="272" t="s">
        <v>286</v>
      </c>
      <c r="D83" s="272"/>
      <c r="E83" s="272"/>
      <c r="F83" s="60">
        <f>EQUIPAMENTOS</f>
        <v>8.09</v>
      </c>
    </row>
    <row r="84" spans="2:6" x14ac:dyDescent="0.4">
      <c r="B84" s="44" t="s">
        <v>5</v>
      </c>
      <c r="C84" s="324" t="str">
        <f>OUTROS_INSUMOS_DESCRICAO</f>
        <v>Outros (Especificar)</v>
      </c>
      <c r="D84" s="273"/>
      <c r="E84" s="273"/>
      <c r="F84" s="47">
        <f>OUTROS_INSUMOS</f>
        <v>0</v>
      </c>
    </row>
    <row r="85" spans="2:6" x14ac:dyDescent="0.4">
      <c r="B85" s="328" t="s">
        <v>46</v>
      </c>
      <c r="C85" s="328"/>
      <c r="D85" s="328"/>
      <c r="E85" s="328"/>
      <c r="F85" s="43">
        <f>SUM(F81:F84)</f>
        <v>330.2</v>
      </c>
    </row>
    <row r="86" spans="2:6" ht="10.5" customHeight="1" x14ac:dyDescent="0.4">
      <c r="B86" s="16"/>
      <c r="C86" s="17"/>
      <c r="D86" s="18"/>
      <c r="E86" s="14"/>
      <c r="F86" s="14"/>
    </row>
    <row r="87" spans="2:6" ht="15" customHeight="1" x14ac:dyDescent="0.4">
      <c r="B87" s="264" t="s">
        <v>76</v>
      </c>
      <c r="C87" s="264"/>
      <c r="D87" s="264"/>
      <c r="E87" s="264"/>
      <c r="F87" s="264"/>
    </row>
    <row r="88" spans="2:6" x14ac:dyDescent="0.4">
      <c r="B88" s="1">
        <v>6</v>
      </c>
      <c r="C88" s="260" t="s">
        <v>20</v>
      </c>
      <c r="D88" s="260"/>
      <c r="E88" s="4" t="s">
        <v>1</v>
      </c>
      <c r="F88" s="4" t="s">
        <v>13</v>
      </c>
    </row>
    <row r="89" spans="2:6" x14ac:dyDescent="0.4">
      <c r="B89" s="1" t="s">
        <v>2</v>
      </c>
      <c r="C89" s="298" t="s">
        <v>78</v>
      </c>
      <c r="D89" s="298"/>
      <c r="E89" s="61">
        <f>PERC_CUSTOS_INDIRETOS</f>
        <v>4.8499999999999996</v>
      </c>
      <c r="F89" s="58">
        <f>PERC_CUSTOS_INDIRETOS%*(MOD_1_REMUNERACAO_44H+MOD_2_ENCARGOS_BENEFICIOS_44H+MOD_3_PROVISAO_RESCISAO_44H+MOD_4_CUSTO_REPOSICAO_44H+MOD_5_INSUMOS_44H)</f>
        <v>220.42</v>
      </c>
    </row>
    <row r="90" spans="2:6" ht="15.75" customHeight="1" x14ac:dyDescent="0.4">
      <c r="B90" s="2" t="s">
        <v>3</v>
      </c>
      <c r="C90" s="300" t="s">
        <v>32</v>
      </c>
      <c r="D90" s="300"/>
      <c r="E90" s="48">
        <f>PERC_LUCRO</f>
        <v>5.45</v>
      </c>
      <c r="F90" s="36">
        <f>PERC_LUCRO%*(MOD_1_REMUNERACAO_44H+MOD_2_ENCARGOS_BENEFICIOS_44H+MOD_3_PROVISAO_RESCISAO_44H+MOD_4_CUSTO_REPOSICAO_44H+MOD_5_INSUMOS_44H+AL_6_A_CUSTOS_INDIRETOS_44H)</f>
        <v>259.7</v>
      </c>
    </row>
    <row r="91" spans="2:6" x14ac:dyDescent="0.4">
      <c r="B91" s="2" t="s">
        <v>4</v>
      </c>
      <c r="C91" s="298" t="s">
        <v>21</v>
      </c>
      <c r="D91" s="298"/>
      <c r="E91" s="61">
        <f>SUM(E92:E94)</f>
        <v>8.65</v>
      </c>
      <c r="F91" s="58">
        <f>SUM(F92:F94)</f>
        <v>475.8</v>
      </c>
    </row>
    <row r="92" spans="2:6" ht="15.75" customHeight="1" x14ac:dyDescent="0.4">
      <c r="B92" s="30" t="s">
        <v>79</v>
      </c>
      <c r="C92" s="326" t="s">
        <v>23</v>
      </c>
      <c r="D92" s="326"/>
      <c r="E92" s="31">
        <f>PERC_PIS</f>
        <v>0.65</v>
      </c>
      <c r="F92" s="63">
        <f>((MOD_1_REMUNERACAO_44H+MOD_2_ENCARGOS_BENEFICIOS_44H+MOD_3_PROVISAO_RESCISAO_44H+MOD_4_CUSTO_REPOSICAO_44H+MOD_5_INSUMOS_44H+AL_6_A_CUSTOS_INDIRETOS_44H+AL_6_B_LUCRO_44H)*PERC_PIS%)/(1-PERC_TRIBUTOS%)</f>
        <v>35.75</v>
      </c>
    </row>
    <row r="93" spans="2:6" x14ac:dyDescent="0.4">
      <c r="B93" s="30" t="s">
        <v>80</v>
      </c>
      <c r="C93" s="327" t="s">
        <v>24</v>
      </c>
      <c r="D93" s="327"/>
      <c r="E93" s="62">
        <f>PERC_COFINS</f>
        <v>3</v>
      </c>
      <c r="F93" s="64">
        <f>((MOD_1_REMUNERACAO_44H+MOD_2_ENCARGOS_BENEFICIOS_44H+MOD_3_PROVISAO_RESCISAO_44H+MOD_4_CUSTO_REPOSICAO_44H+MOD_5_INSUMOS_44H+AL_6_A_CUSTOS_INDIRETOS_44H+AL_6_B_LUCRO_44H)*PERC_COFINS%)/(1-PERC_TRIBUTOS%)</f>
        <v>165.02</v>
      </c>
    </row>
    <row r="94" spans="2:6" s="108" customFormat="1" x14ac:dyDescent="0.4">
      <c r="B94" s="30" t="s">
        <v>81</v>
      </c>
      <c r="C94" s="326" t="s">
        <v>25</v>
      </c>
      <c r="D94" s="326"/>
      <c r="E94" s="31">
        <f>PERC_ISS</f>
        <v>5</v>
      </c>
      <c r="F94" s="63">
        <f>((MOD_1_REMUNERACAO_44H+MOD_2_ENCARGOS_BENEFICIOS_44H+MOD_3_PROVISAO_RESCISAO_44H+MOD_4_CUSTO_REPOSICAO_44H+MOD_5_INSUMOS_44H+AL_6_A_CUSTOS_INDIRETOS_44H+AL_6_B_LUCRO_44H)*PERC_ISS%)/(1-PERC_TRIBUTOS%)</f>
        <v>275.02999999999997</v>
      </c>
    </row>
    <row r="95" spans="2:6" s="108" customFormat="1" x14ac:dyDescent="0.4">
      <c r="B95" s="268" t="s">
        <v>46</v>
      </c>
      <c r="C95" s="269"/>
      <c r="D95" s="269"/>
      <c r="E95" s="270"/>
      <c r="F95" s="37">
        <f>AL_6_A_CUSTOS_INDIRETOS_44H+AL_6_B_LUCRO_44H+AL_6_C_TRIBUTOS_44H</f>
        <v>955.92</v>
      </c>
    </row>
    <row r="96" spans="2:6" s="108" customFormat="1" x14ac:dyDescent="0.4">
      <c r="B96" s="264" t="s">
        <v>261</v>
      </c>
      <c r="C96" s="264"/>
      <c r="D96" s="264"/>
      <c r="E96" s="264"/>
      <c r="F96" s="264"/>
    </row>
    <row r="97" spans="2:6" ht="19.5" customHeight="1" x14ac:dyDescent="0.4">
      <c r="B97" s="147" t="s">
        <v>2</v>
      </c>
      <c r="C97" s="275" t="str">
        <f>'INSERÇÃO-DE-DADOS'!C87:E87</f>
        <v>Dia do Vigilante - Clausula 82ª CCT - Jornada 44h</v>
      </c>
      <c r="D97" s="276"/>
      <c r="E97" s="277"/>
      <c r="F97" s="57">
        <f>'INSERÇÃO-DE-DADOS'!F87</f>
        <v>12.14</v>
      </c>
    </row>
    <row r="98" spans="2:6" s="108" customFormat="1" ht="30.75" customHeight="1" x14ac:dyDescent="0.4">
      <c r="B98" s="52" t="s">
        <v>53</v>
      </c>
      <c r="C98" s="15"/>
      <c r="D98" s="15"/>
      <c r="E98" s="15"/>
      <c r="F98" s="23"/>
    </row>
    <row r="99" spans="2:6" s="109" customFormat="1" ht="16.5" customHeight="1" x14ac:dyDescent="0.4">
      <c r="B99" s="2" t="s">
        <v>98</v>
      </c>
      <c r="C99" s="257" t="s">
        <v>99</v>
      </c>
      <c r="D99" s="258"/>
      <c r="E99" s="259"/>
      <c r="F99" s="4" t="s">
        <v>17</v>
      </c>
    </row>
    <row r="100" spans="2:6" s="108" customFormat="1" x14ac:dyDescent="0.4">
      <c r="B100" s="1">
        <v>1</v>
      </c>
      <c r="C100" s="298" t="s">
        <v>9</v>
      </c>
      <c r="D100" s="298"/>
      <c r="E100" s="298"/>
      <c r="F100" s="58">
        <f>MOD_1_REMUNERACAO_44H</f>
        <v>1821.39</v>
      </c>
    </row>
    <row r="101" spans="2:6" s="110" customFormat="1" ht="16.5" customHeight="1" x14ac:dyDescent="0.4">
      <c r="B101" s="2">
        <v>2</v>
      </c>
      <c r="C101" s="300" t="s">
        <v>100</v>
      </c>
      <c r="D101" s="300"/>
      <c r="E101" s="300"/>
      <c r="F101" s="36">
        <f>MOD_2_ENCARGOS_BENEFICIOS_44H</f>
        <v>1622.02</v>
      </c>
    </row>
    <row r="102" spans="2:6" s="110" customFormat="1" x14ac:dyDescent="0.4">
      <c r="B102" s="2">
        <v>3</v>
      </c>
      <c r="C102" s="298" t="s">
        <v>48</v>
      </c>
      <c r="D102" s="298"/>
      <c r="E102" s="298"/>
      <c r="F102" s="58">
        <f>MOD_3_PROVISAO_RESCISAO_44H</f>
        <v>48.87</v>
      </c>
    </row>
    <row r="103" spans="2:6" s="110" customFormat="1" x14ac:dyDescent="0.4">
      <c r="B103" s="2">
        <v>4</v>
      </c>
      <c r="C103" s="300" t="s">
        <v>51</v>
      </c>
      <c r="D103" s="300"/>
      <c r="E103" s="300"/>
      <c r="F103" s="36">
        <f>MOD_4_CUSTO_REPOSICAO_44H</f>
        <v>722.21</v>
      </c>
    </row>
    <row r="104" spans="2:6" s="110" customFormat="1" x14ac:dyDescent="0.4">
      <c r="B104" s="2">
        <v>5</v>
      </c>
      <c r="C104" s="298" t="s">
        <v>0</v>
      </c>
      <c r="D104" s="298"/>
      <c r="E104" s="298"/>
      <c r="F104" s="58">
        <f>MOD_5_INSUMOS_44H</f>
        <v>330.2</v>
      </c>
    </row>
    <row r="105" spans="2:6" s="110" customFormat="1" x14ac:dyDescent="0.4">
      <c r="B105" s="2">
        <v>6</v>
      </c>
      <c r="C105" s="300" t="s">
        <v>20</v>
      </c>
      <c r="D105" s="300"/>
      <c r="E105" s="300"/>
      <c r="F105" s="36">
        <f>MOD_6_CUSTOS_IND_LUCRO_TRIB_44H</f>
        <v>955.92</v>
      </c>
    </row>
    <row r="106" spans="2:6" s="110" customFormat="1" x14ac:dyDescent="0.4">
      <c r="B106" s="2">
        <v>7</v>
      </c>
      <c r="C106" s="149" t="str">
        <f>C97</f>
        <v>Dia do Vigilante - Clausula 82ª CCT - Jornada 44h</v>
      </c>
      <c r="D106" s="146"/>
      <c r="E106" s="146"/>
      <c r="F106" s="36">
        <f>F97</f>
        <v>12.14</v>
      </c>
    </row>
    <row r="107" spans="2:6" ht="16.5" customHeight="1" x14ac:dyDescent="0.4">
      <c r="B107" s="302" t="s">
        <v>101</v>
      </c>
      <c r="C107" s="302"/>
      <c r="D107" s="302"/>
      <c r="E107" s="302"/>
      <c r="F107" s="37">
        <f>SUM(F100:F106)</f>
        <v>5512.75</v>
      </c>
    </row>
    <row r="108" spans="2:6" ht="16.5" customHeight="1" x14ac:dyDescent="0.4">
      <c r="B108" s="302" t="s">
        <v>30</v>
      </c>
      <c r="C108" s="302"/>
      <c r="D108" s="302"/>
      <c r="E108" s="302"/>
      <c r="F108" s="37">
        <f>VALOR_TOTAL_EMPREGADO_44H*EMPREG_POR_POSTO_44H</f>
        <v>5512.75</v>
      </c>
    </row>
    <row r="109" spans="2:6" x14ac:dyDescent="0.4">
      <c r="B109" s="22"/>
      <c r="C109" s="15"/>
      <c r="D109" s="15"/>
      <c r="E109" s="15"/>
      <c r="F109" s="23"/>
    </row>
  </sheetData>
  <mergeCells count="90">
    <mergeCell ref="C103:E103"/>
    <mergeCell ref="C104:E104"/>
    <mergeCell ref="C105:E105"/>
    <mergeCell ref="B107:E107"/>
    <mergeCell ref="B108:E108"/>
    <mergeCell ref="C102:E102"/>
    <mergeCell ref="C88:D88"/>
    <mergeCell ref="C89:D89"/>
    <mergeCell ref="C90:D90"/>
    <mergeCell ref="C91:D91"/>
    <mergeCell ref="C92:D92"/>
    <mergeCell ref="C93:D93"/>
    <mergeCell ref="C94:D94"/>
    <mergeCell ref="B95:E95"/>
    <mergeCell ref="C99:E99"/>
    <mergeCell ref="C100:E100"/>
    <mergeCell ref="C101:E101"/>
    <mergeCell ref="B96:F96"/>
    <mergeCell ref="C97:E97"/>
    <mergeCell ref="B87:F87"/>
    <mergeCell ref="C70:D70"/>
    <mergeCell ref="C71:D71"/>
    <mergeCell ref="B72:E72"/>
    <mergeCell ref="C76:E76"/>
    <mergeCell ref="B77:E77"/>
    <mergeCell ref="C80:E80"/>
    <mergeCell ref="C81:E81"/>
    <mergeCell ref="C82:E82"/>
    <mergeCell ref="C83:E83"/>
    <mergeCell ref="C84:E84"/>
    <mergeCell ref="B85:E85"/>
    <mergeCell ref="C69:D69"/>
    <mergeCell ref="C53:E53"/>
    <mergeCell ref="B54:E54"/>
    <mergeCell ref="C57:D57"/>
    <mergeCell ref="C58:D58"/>
    <mergeCell ref="C59:D59"/>
    <mergeCell ref="C60:D60"/>
    <mergeCell ref="B61:E61"/>
    <mergeCell ref="C65:D65"/>
    <mergeCell ref="C66:D66"/>
    <mergeCell ref="C67:D67"/>
    <mergeCell ref="C68:D68"/>
    <mergeCell ref="C52:E52"/>
    <mergeCell ref="C40:D40"/>
    <mergeCell ref="C41:D41"/>
    <mergeCell ref="C42:D42"/>
    <mergeCell ref="C43:D43"/>
    <mergeCell ref="C44:D44"/>
    <mergeCell ref="C45:D45"/>
    <mergeCell ref="B46:E46"/>
    <mergeCell ref="C48:E48"/>
    <mergeCell ref="C49:E49"/>
    <mergeCell ref="C50:E50"/>
    <mergeCell ref="C51:E51"/>
    <mergeCell ref="C39:D39"/>
    <mergeCell ref="C26:E26"/>
    <mergeCell ref="C27:E27"/>
    <mergeCell ref="B28:E28"/>
    <mergeCell ref="C32:D32"/>
    <mergeCell ref="C33:D33"/>
    <mergeCell ref="C34:D34"/>
    <mergeCell ref="B35:E35"/>
    <mergeCell ref="B36:F36"/>
    <mergeCell ref="C37:D37"/>
    <mergeCell ref="C38:D38"/>
    <mergeCell ref="C25:E25"/>
    <mergeCell ref="C11:E11"/>
    <mergeCell ref="C12:E12"/>
    <mergeCell ref="C15:D15"/>
    <mergeCell ref="E15:F15"/>
    <mergeCell ref="D16:F16"/>
    <mergeCell ref="D17:F17"/>
    <mergeCell ref="C18:E18"/>
    <mergeCell ref="B20:F20"/>
    <mergeCell ref="B21:E21"/>
    <mergeCell ref="C23:E23"/>
    <mergeCell ref="C24:E24"/>
    <mergeCell ref="C10:E10"/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</mergeCells>
  <printOptions horizontalCentered="1"/>
  <pageMargins left="0.17" right="0.17" top="0.23" bottom="0.17" header="0.25" footer="0.17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5"/>
  <sheetViews>
    <sheetView zoomScaleNormal="100" zoomScaleSheetLayoutView="100" workbookViewId="0">
      <selection activeCell="C79" sqref="C79:E80"/>
    </sheetView>
  </sheetViews>
  <sheetFormatPr defaultColWidth="9.109375" defaultRowHeight="16.8" x14ac:dyDescent="0.4"/>
  <cols>
    <col min="1" max="1" width="2.6640625" style="13" customWidth="1"/>
    <col min="2" max="2" width="8.88671875" style="13" customWidth="1"/>
    <col min="3" max="3" width="52.5546875" style="19" customWidth="1"/>
    <col min="4" max="4" width="7.88671875" style="19" customWidth="1"/>
    <col min="5" max="5" width="13.5546875" style="19" customWidth="1"/>
    <col min="6" max="6" width="15.44140625" style="19" bestFit="1" customWidth="1"/>
    <col min="7" max="7" width="15.44140625" style="13" customWidth="1"/>
    <col min="8" max="8" width="65.33203125" style="13" customWidth="1"/>
    <col min="9" max="10" width="12.5546875" style="13" bestFit="1" customWidth="1"/>
    <col min="11" max="16384" width="9.109375" style="13"/>
  </cols>
  <sheetData>
    <row r="1" spans="2:6" ht="20.399999999999999" x14ac:dyDescent="0.45">
      <c r="B1" s="313" t="str">
        <f>RAMO</f>
        <v>RAMO: MINISTÉRIO PÚBLIC FEDERAL</v>
      </c>
      <c r="C1" s="314"/>
      <c r="D1" s="314"/>
      <c r="E1" s="314"/>
      <c r="F1" s="315"/>
    </row>
    <row r="2" spans="2:6" ht="20.399999999999999" x14ac:dyDescent="0.45">
      <c r="B2" s="316" t="str">
        <f>UG</f>
        <v>UNIDADE GESTORA (SIGLA): PR-PA</v>
      </c>
      <c r="C2" s="317"/>
      <c r="D2" s="318"/>
      <c r="E2" s="113" t="s">
        <v>57</v>
      </c>
      <c r="F2" s="114" t="str">
        <f>DATA_DO_ORCAMENTO_ESTIMATIVO</f>
        <v>XX/XX/20XX</v>
      </c>
    </row>
    <row r="3" spans="2:6" s="98" customFormat="1" ht="24.6" x14ac:dyDescent="0.55000000000000004">
      <c r="B3" s="281" t="s">
        <v>54</v>
      </c>
      <c r="C3" s="281"/>
      <c r="D3" s="281"/>
      <c r="E3" s="281"/>
      <c r="F3" s="281"/>
    </row>
    <row r="4" spans="2:6" s="98" customFormat="1" ht="15.9" customHeight="1" x14ac:dyDescent="0.4">
      <c r="B4" s="282" t="s">
        <v>97</v>
      </c>
      <c r="C4" s="282"/>
      <c r="D4" s="282"/>
      <c r="E4" s="282"/>
      <c r="F4" s="282"/>
    </row>
    <row r="5" spans="2:6" s="98" customFormat="1" ht="15.9" customHeight="1" x14ac:dyDescent="0.4">
      <c r="B5" s="285" t="s">
        <v>223</v>
      </c>
      <c r="C5" s="285"/>
      <c r="D5" s="319" t="str">
        <f>NUMERO_PROCESSO</f>
        <v>1.23.000.000855/2020-32</v>
      </c>
      <c r="E5" s="319"/>
      <c r="F5" s="319"/>
    </row>
    <row r="6" spans="2:6" s="98" customFormat="1" ht="15.75" customHeight="1" x14ac:dyDescent="0.4">
      <c r="B6" s="289" t="s">
        <v>224</v>
      </c>
      <c r="C6" s="289"/>
      <c r="D6" s="320" t="str">
        <f>MODALIDADE_DE_LICITACAO</f>
        <v>Pregão nº</v>
      </c>
      <c r="E6" s="320"/>
      <c r="F6" s="118" t="str">
        <f>NUMERO_PREGAO</f>
        <v>XX/20XX</v>
      </c>
    </row>
    <row r="7" spans="2:6" s="99" customFormat="1" ht="15.75" customHeight="1" x14ac:dyDescent="0.45">
      <c r="B7" s="321" t="s">
        <v>58</v>
      </c>
      <c r="C7" s="321"/>
      <c r="D7" s="321"/>
      <c r="E7" s="321"/>
      <c r="F7" s="321"/>
    </row>
    <row r="8" spans="2:6" s="98" customFormat="1" ht="18" customHeight="1" x14ac:dyDescent="0.4">
      <c r="B8" s="25" t="s">
        <v>2</v>
      </c>
      <c r="C8" s="285" t="s">
        <v>63</v>
      </c>
      <c r="D8" s="285"/>
      <c r="E8" s="285"/>
      <c r="F8" s="119" t="str">
        <f>DATA_APRESENTACAO_PROPOSTA</f>
        <v>XX/XX/20XX</v>
      </c>
    </row>
    <row r="9" spans="2:6" s="98" customFormat="1" ht="15.9" customHeight="1" x14ac:dyDescent="0.25">
      <c r="B9" s="1" t="s">
        <v>3</v>
      </c>
      <c r="C9" s="67" t="s">
        <v>36</v>
      </c>
      <c r="D9" s="311" t="s">
        <v>265</v>
      </c>
      <c r="E9" s="311"/>
      <c r="F9" s="311"/>
    </row>
    <row r="10" spans="2:6" s="98" customFormat="1" ht="18.75" customHeight="1" x14ac:dyDescent="0.4">
      <c r="B10" s="25" t="s">
        <v>4</v>
      </c>
      <c r="C10" s="285" t="s">
        <v>37</v>
      </c>
      <c r="D10" s="285"/>
      <c r="E10" s="285"/>
      <c r="F10" s="120" t="str">
        <f>ACORDO_COLETIVO</f>
        <v>CCT 2020/2021</v>
      </c>
    </row>
    <row r="11" spans="2:6" s="98" customFormat="1" ht="15.9" customHeight="1" x14ac:dyDescent="0.4">
      <c r="B11" s="1" t="s">
        <v>5</v>
      </c>
      <c r="C11" s="311" t="s">
        <v>64</v>
      </c>
      <c r="D11" s="311"/>
      <c r="E11" s="311"/>
      <c r="F11" s="121">
        <f>NUMERO_MESES_EXEC_CONTRATUAL</f>
        <v>12</v>
      </c>
    </row>
    <row r="12" spans="2:6" s="98" customFormat="1" x14ac:dyDescent="0.4">
      <c r="B12" s="1" t="s">
        <v>6</v>
      </c>
      <c r="C12" s="312" t="s">
        <v>85</v>
      </c>
      <c r="D12" s="312"/>
      <c r="E12" s="312"/>
      <c r="F12" s="102">
        <v>1</v>
      </c>
    </row>
    <row r="13" spans="2:6" s="98" customFormat="1" ht="7.5" customHeight="1" x14ac:dyDescent="0.4">
      <c r="B13" s="122"/>
      <c r="C13" s="123"/>
      <c r="D13" s="123"/>
      <c r="E13" s="123"/>
      <c r="F13" s="104"/>
    </row>
    <row r="14" spans="2:6" s="98" customFormat="1" ht="21" customHeight="1" x14ac:dyDescent="0.55000000000000004">
      <c r="B14" s="106" t="s">
        <v>205</v>
      </c>
      <c r="C14" s="13"/>
      <c r="D14" s="13"/>
      <c r="E14" s="13"/>
      <c r="F14" s="13"/>
    </row>
    <row r="15" spans="2:6" s="98" customFormat="1" x14ac:dyDescent="0.4">
      <c r="B15" s="25">
        <v>1</v>
      </c>
      <c r="C15" s="243" t="s">
        <v>60</v>
      </c>
      <c r="D15" s="243"/>
      <c r="E15" s="247" t="str">
        <f>TIPO_DE_SERVICO</f>
        <v>Vigilância</v>
      </c>
      <c r="F15" s="247"/>
    </row>
    <row r="16" spans="2:6" s="99" customFormat="1" x14ac:dyDescent="0.4">
      <c r="B16" s="25">
        <v>2</v>
      </c>
      <c r="C16" s="27" t="s">
        <v>59</v>
      </c>
      <c r="D16" s="246" t="str">
        <f>CBO</f>
        <v>5173-30</v>
      </c>
      <c r="E16" s="246"/>
      <c r="F16" s="246"/>
    </row>
    <row r="17" spans="2:6" s="98" customFormat="1" ht="15" customHeight="1" x14ac:dyDescent="0.4">
      <c r="B17" s="25">
        <v>3</v>
      </c>
      <c r="C17" s="56" t="s">
        <v>61</v>
      </c>
      <c r="D17" s="247" t="str">
        <f>CATEGORIA_PROFISSIONAL</f>
        <v>Vigilante</v>
      </c>
      <c r="E17" s="247"/>
      <c r="F17" s="247"/>
    </row>
    <row r="18" spans="2:6" s="98" customFormat="1" ht="15" customHeight="1" x14ac:dyDescent="0.4">
      <c r="B18" s="25">
        <v>4</v>
      </c>
      <c r="C18" s="248" t="s">
        <v>62</v>
      </c>
      <c r="D18" s="248"/>
      <c r="E18" s="248"/>
      <c r="F18" s="135">
        <f>DATA_BASE_CATEGORIA</f>
        <v>43831</v>
      </c>
    </row>
    <row r="19" spans="2:6" s="98" customFormat="1" ht="15" customHeight="1" x14ac:dyDescent="0.4">
      <c r="B19" s="28"/>
      <c r="C19" s="29"/>
      <c r="D19" s="29"/>
      <c r="E19" s="29"/>
      <c r="F19" s="105"/>
    </row>
    <row r="20" spans="2:6" s="124" customFormat="1" ht="30" customHeight="1" x14ac:dyDescent="0.4">
      <c r="B20" s="322" t="s">
        <v>40</v>
      </c>
      <c r="C20" s="322"/>
      <c r="D20" s="322"/>
      <c r="E20" s="322"/>
      <c r="F20" s="322"/>
    </row>
    <row r="21" spans="2:6" x14ac:dyDescent="0.4">
      <c r="B21" s="260" t="s">
        <v>52</v>
      </c>
      <c r="C21" s="260"/>
      <c r="D21" s="260"/>
      <c r="E21" s="260"/>
      <c r="F21" s="117">
        <v>2</v>
      </c>
    </row>
    <row r="22" spans="2:6" x14ac:dyDescent="0.4">
      <c r="B22" s="51" t="s">
        <v>8</v>
      </c>
      <c r="E22" s="14"/>
      <c r="F22" s="14"/>
    </row>
    <row r="23" spans="2:6" x14ac:dyDescent="0.4">
      <c r="B23" s="1">
        <v>1</v>
      </c>
      <c r="C23" s="244" t="s">
        <v>9</v>
      </c>
      <c r="D23" s="323"/>
      <c r="E23" s="245"/>
      <c r="F23" s="4" t="s">
        <v>13</v>
      </c>
    </row>
    <row r="24" spans="2:6" x14ac:dyDescent="0.4">
      <c r="B24" s="1" t="s">
        <v>2</v>
      </c>
      <c r="C24" s="275" t="s">
        <v>92</v>
      </c>
      <c r="D24" s="276"/>
      <c r="E24" s="277"/>
      <c r="F24" s="57">
        <f>SALARIO_BASE</f>
        <v>1401.07</v>
      </c>
    </row>
    <row r="25" spans="2:6" x14ac:dyDescent="0.4">
      <c r="B25" s="1" t="s">
        <v>3</v>
      </c>
      <c r="C25" s="251" t="s">
        <v>94</v>
      </c>
      <c r="D25" s="252"/>
      <c r="E25" s="253"/>
      <c r="F25" s="10">
        <f>PERC_ADIC_PERIC%*SALARIO_BASE</f>
        <v>420.32</v>
      </c>
    </row>
    <row r="26" spans="2:6" x14ac:dyDescent="0.4">
      <c r="B26" s="1" t="s">
        <v>4</v>
      </c>
      <c r="C26" s="305" t="str">
        <f>OUTROS_REMUNERACAO_1_DESCRICAO</f>
        <v>DSR - Adicional noturno - 1/6</v>
      </c>
      <c r="D26" s="306"/>
      <c r="E26" s="307"/>
      <c r="F26" s="57">
        <v>0</v>
      </c>
    </row>
    <row r="27" spans="2:6" x14ac:dyDescent="0.4">
      <c r="B27" s="1" t="s">
        <v>5</v>
      </c>
      <c r="C27" s="305" t="str">
        <f>OUTROS_REMUNERACAO_2_DESCRICAO</f>
        <v>DSR - Hora noturna reduzida - 1/6</v>
      </c>
      <c r="D27" s="306"/>
      <c r="E27" s="307"/>
      <c r="F27" s="10">
        <f>OUTROS_REMUNERACAO_2</f>
        <v>0</v>
      </c>
    </row>
    <row r="28" spans="2:6" x14ac:dyDescent="0.4">
      <c r="B28" s="268" t="s">
        <v>46</v>
      </c>
      <c r="C28" s="269"/>
      <c r="D28" s="269"/>
      <c r="E28" s="270"/>
      <c r="F28" s="40">
        <f>SUM(F24:F27)</f>
        <v>1821.39</v>
      </c>
    </row>
    <row r="29" spans="2:6" x14ac:dyDescent="0.4">
      <c r="B29" s="51" t="s">
        <v>65</v>
      </c>
      <c r="E29" s="21"/>
      <c r="F29" s="21"/>
    </row>
    <row r="30" spans="2:6" x14ac:dyDescent="0.4">
      <c r="B30" s="51" t="s">
        <v>110</v>
      </c>
      <c r="C30" s="12"/>
      <c r="D30" s="22"/>
      <c r="E30" s="20"/>
      <c r="F30" s="20"/>
    </row>
    <row r="31" spans="2:6" x14ac:dyDescent="0.4">
      <c r="B31" s="1" t="s">
        <v>66</v>
      </c>
      <c r="C31" s="268" t="s">
        <v>93</v>
      </c>
      <c r="D31" s="270"/>
      <c r="E31" s="4" t="s">
        <v>1</v>
      </c>
      <c r="F31" s="4" t="s">
        <v>13</v>
      </c>
    </row>
    <row r="32" spans="2:6" x14ac:dyDescent="0.4">
      <c r="B32" s="1" t="s">
        <v>2</v>
      </c>
      <c r="C32" s="275" t="s">
        <v>47</v>
      </c>
      <c r="D32" s="276"/>
      <c r="E32" s="59">
        <f>PERC_DEC_TERC</f>
        <v>8.33</v>
      </c>
      <c r="F32" s="58">
        <f>PERC_DEC_TERC%*(MOD_1_REMUNERACAO_12X36_DIU)</f>
        <v>151.72</v>
      </c>
    </row>
    <row r="33" spans="2:8" s="17" customFormat="1" x14ac:dyDescent="0.4">
      <c r="B33" s="2" t="s">
        <v>3</v>
      </c>
      <c r="C33" s="251" t="s">
        <v>95</v>
      </c>
      <c r="D33" s="253"/>
      <c r="E33" s="38">
        <f>PERC_ADIC_FERIAS</f>
        <v>2.78</v>
      </c>
      <c r="F33" s="36">
        <f>PERC_ADIC_FERIAS%*(MOD_1_REMUNERACAO_12X36_DIU)</f>
        <v>50.63</v>
      </c>
    </row>
    <row r="34" spans="2:8" s="107" customFormat="1" x14ac:dyDescent="0.4">
      <c r="B34" s="268" t="s">
        <v>46</v>
      </c>
      <c r="C34" s="269"/>
      <c r="D34" s="269"/>
      <c r="E34" s="270"/>
      <c r="F34" s="41">
        <f>SUM(F32:F33)</f>
        <v>202.35</v>
      </c>
    </row>
    <row r="35" spans="2:8" s="107" customFormat="1" ht="31.5" customHeight="1" x14ac:dyDescent="0.4">
      <c r="B35" s="308" t="s">
        <v>68</v>
      </c>
      <c r="C35" s="308"/>
      <c r="D35" s="308"/>
      <c r="E35" s="308"/>
      <c r="F35" s="308"/>
    </row>
    <row r="36" spans="2:8" s="107" customFormat="1" ht="34.5" customHeight="1" x14ac:dyDescent="0.4">
      <c r="B36" s="1" t="s">
        <v>69</v>
      </c>
      <c r="C36" s="309" t="s">
        <v>96</v>
      </c>
      <c r="D36" s="310"/>
      <c r="E36" s="4" t="s">
        <v>1</v>
      </c>
      <c r="F36" s="4" t="s">
        <v>13</v>
      </c>
    </row>
    <row r="37" spans="2:8" x14ac:dyDescent="0.4">
      <c r="B37" s="1" t="s">
        <v>2</v>
      </c>
      <c r="C37" s="275" t="s">
        <v>41</v>
      </c>
      <c r="D37" s="276"/>
      <c r="E37" s="59">
        <f>PERC_INSS</f>
        <v>20</v>
      </c>
      <c r="F37" s="58">
        <f>PERC_INSS%*(MOD_1_REMUNERACAO_12X36_DIU+SUBMOD_2_1_DEC_TERC_ADIC_FERIAS_12X36_DIU)</f>
        <v>404.75</v>
      </c>
    </row>
    <row r="38" spans="2:8" s="98" customFormat="1" x14ac:dyDescent="0.4">
      <c r="B38" s="2" t="s">
        <v>3</v>
      </c>
      <c r="C38" s="251" t="s">
        <v>43</v>
      </c>
      <c r="D38" s="253"/>
      <c r="E38" s="46">
        <f>PERC_SAL_EDUCACAO</f>
        <v>2.5</v>
      </c>
      <c r="F38" s="36">
        <f>PERC_SAL_EDUCACAO%*(MOD_1_REMUNERACAO_12X36_DIU+SUBMOD_2_1_DEC_TERC_ADIC_FERIAS_12X36_DIU)</f>
        <v>50.59</v>
      </c>
      <c r="G38" s="13"/>
      <c r="H38" s="13"/>
    </row>
    <row r="39" spans="2:8" s="98" customFormat="1" x14ac:dyDescent="0.4">
      <c r="B39" s="2" t="s">
        <v>4</v>
      </c>
      <c r="C39" s="275" t="s">
        <v>236</v>
      </c>
      <c r="D39" s="276"/>
      <c r="E39" s="59">
        <f>PERC_RAT</f>
        <v>6</v>
      </c>
      <c r="F39" s="58">
        <f>PERC_RAT%*(MOD_1_REMUNERACAO_12X36_DIU+SUBMOD_2_1_DEC_TERC_ADIC_FERIAS_12X36_DIU)</f>
        <v>121.42</v>
      </c>
      <c r="G39" s="13"/>
      <c r="H39" s="13"/>
    </row>
    <row r="40" spans="2:8" s="98" customFormat="1" x14ac:dyDescent="0.4">
      <c r="B40" s="2" t="s">
        <v>5</v>
      </c>
      <c r="C40" s="251" t="s">
        <v>88</v>
      </c>
      <c r="D40" s="253"/>
      <c r="E40" s="38">
        <f>PERC_SESC</f>
        <v>1.5</v>
      </c>
      <c r="F40" s="36">
        <f>PERC_SESC%*(MOD_1_REMUNERACAO_12X36_DIU+SUBMOD_2_1_DEC_TERC_ADIC_FERIAS_12X36_DIU)</f>
        <v>30.36</v>
      </c>
      <c r="G40" s="13"/>
      <c r="H40" s="13"/>
    </row>
    <row r="41" spans="2:8" s="98" customFormat="1" x14ac:dyDescent="0.4">
      <c r="B41" s="2" t="s">
        <v>6</v>
      </c>
      <c r="C41" s="275" t="s">
        <v>89</v>
      </c>
      <c r="D41" s="276"/>
      <c r="E41" s="59">
        <f>PERC_SENAC</f>
        <v>1</v>
      </c>
      <c r="F41" s="58">
        <f>PERC_SENAC%*(MOD_1_REMUNERACAO_12X36_DIU+SUBMOD_2_1_DEC_TERC_ADIC_FERIAS_12X36_DIU)</f>
        <v>20.239999999999998</v>
      </c>
      <c r="G41" s="13"/>
      <c r="H41" s="13"/>
    </row>
    <row r="42" spans="2:8" s="99" customFormat="1" x14ac:dyDescent="0.4">
      <c r="B42" s="2" t="s">
        <v>7</v>
      </c>
      <c r="C42" s="251" t="s">
        <v>45</v>
      </c>
      <c r="D42" s="253"/>
      <c r="E42" s="46">
        <f>PERC_SEBRAE</f>
        <v>0.6</v>
      </c>
      <c r="F42" s="36">
        <f>PERC_SEBRAE%*(MOD_1_REMUNERACAO_12X36_DIU+SUBMOD_2_1_DEC_TERC_ADIC_FERIAS_12X36_DIU)</f>
        <v>12.14</v>
      </c>
      <c r="G42" s="13"/>
      <c r="H42" s="13"/>
    </row>
    <row r="43" spans="2:8" s="99" customFormat="1" x14ac:dyDescent="0.4">
      <c r="B43" s="2" t="s">
        <v>10</v>
      </c>
      <c r="C43" s="275" t="s">
        <v>42</v>
      </c>
      <c r="D43" s="276"/>
      <c r="E43" s="59">
        <f>PERC_INCRA</f>
        <v>0.2</v>
      </c>
      <c r="F43" s="58">
        <f>PERC_INCRA%*(MOD_1_REMUNERACAO_12X36_DIU+SUBMOD_2_1_DEC_TERC_ADIC_FERIAS_12X36_DIU)</f>
        <v>4.05</v>
      </c>
      <c r="G43" s="13"/>
      <c r="H43" s="13"/>
    </row>
    <row r="44" spans="2:8" x14ac:dyDescent="0.4">
      <c r="B44" s="2" t="s">
        <v>11</v>
      </c>
      <c r="C44" s="251" t="s">
        <v>44</v>
      </c>
      <c r="D44" s="253"/>
      <c r="E44" s="46">
        <f>PERC_FGTS</f>
        <v>8</v>
      </c>
      <c r="F44" s="36">
        <f>PERC_FGTS%*(MOD_1_REMUNERACAO_12X36_DIU+SUBMOD_2_1_DEC_TERC_ADIC_FERIAS_12X36_DIU)</f>
        <v>161.9</v>
      </c>
    </row>
    <row r="45" spans="2:8" x14ac:dyDescent="0.4">
      <c r="B45" s="268" t="s">
        <v>46</v>
      </c>
      <c r="C45" s="269"/>
      <c r="D45" s="269"/>
      <c r="E45" s="270"/>
      <c r="F45" s="42">
        <f>SUM(F37:F44)</f>
        <v>805.45</v>
      </c>
    </row>
    <row r="46" spans="2:8" ht="15.75" customHeight="1" x14ac:dyDescent="0.4">
      <c r="B46" s="51" t="s">
        <v>71</v>
      </c>
      <c r="C46" s="99"/>
      <c r="D46" s="99"/>
      <c r="E46" s="99"/>
      <c r="F46" s="99"/>
    </row>
    <row r="47" spans="2:8" ht="15.75" customHeight="1" x14ac:dyDescent="0.4">
      <c r="B47" s="1" t="s">
        <v>90</v>
      </c>
      <c r="C47" s="268" t="s">
        <v>14</v>
      </c>
      <c r="D47" s="269"/>
      <c r="E47" s="270"/>
      <c r="F47" s="4" t="s">
        <v>13</v>
      </c>
    </row>
    <row r="48" spans="2:8" x14ac:dyDescent="0.4">
      <c r="B48" s="25" t="s">
        <v>2</v>
      </c>
      <c r="C48" s="275" t="s">
        <v>15</v>
      </c>
      <c r="D48" s="276"/>
      <c r="E48" s="277"/>
      <c r="F48" s="58">
        <f>IF((((2.7*2)*DIAS_TRABALHADOS_NO_MES_12X36)-(PERC_DESC_TRANSP_REMUNERACAO%*(AL_1_A_SAL_BASE_12X36_DIU/2)))&gt;0,(((2.7*2)*DIAS_TRABALHADOS_NO_MES_12X36)-(PERC_DESC_TRANSP_REMUNERACAO%*(AL_1_A_SAL_BASE_12X36_DIU/2))),0)</f>
        <v>38.97</v>
      </c>
      <c r="G48" s="145"/>
    </row>
    <row r="49" spans="2:7" s="107" customFormat="1" x14ac:dyDescent="0.4">
      <c r="B49" s="25" t="s">
        <v>3</v>
      </c>
      <c r="C49" s="251" t="s">
        <v>70</v>
      </c>
      <c r="D49" s="252"/>
      <c r="E49" s="253"/>
      <c r="F49" s="36">
        <f>ALIMENTACAO_POR_DIA*DIAS_TRABALHADOS_NO_MES_12X36*0.99</f>
        <v>386.1</v>
      </c>
      <c r="G49" s="13"/>
    </row>
    <row r="50" spans="2:7" s="107" customFormat="1" x14ac:dyDescent="0.4">
      <c r="B50" s="25" t="s">
        <v>4</v>
      </c>
      <c r="C50" s="275" t="str">
        <f>OUTROS_BENEFICIOS_1_DESCRICAO</f>
        <v>Auxílio saúde</v>
      </c>
      <c r="D50" s="276"/>
      <c r="E50" s="277"/>
      <c r="F50" s="58"/>
      <c r="G50" s="13"/>
    </row>
    <row r="51" spans="2:7" s="107" customFormat="1" x14ac:dyDescent="0.4">
      <c r="B51" s="25" t="s">
        <v>5</v>
      </c>
      <c r="C51" s="305" t="str">
        <f>OUTROS_BENEFICIOS_2_DESCRICAO</f>
        <v>Auxílio morte/funeral</v>
      </c>
      <c r="D51" s="306"/>
      <c r="E51" s="307"/>
      <c r="F51" s="36"/>
      <c r="G51" s="13"/>
    </row>
    <row r="52" spans="2:7" s="107" customFormat="1" x14ac:dyDescent="0.4">
      <c r="B52" s="25" t="s">
        <v>6</v>
      </c>
      <c r="C52" s="275" t="str">
        <f>OUTROS_BENEFICIOS_3_DESCRICAO</f>
        <v>Seguro de vida</v>
      </c>
      <c r="D52" s="276"/>
      <c r="E52" s="277"/>
      <c r="F52" s="58"/>
    </row>
    <row r="53" spans="2:7" s="107" customFormat="1" ht="15" customHeight="1" x14ac:dyDescent="0.4">
      <c r="B53" s="268" t="s">
        <v>46</v>
      </c>
      <c r="C53" s="269"/>
      <c r="D53" s="269"/>
      <c r="E53" s="270"/>
      <c r="F53" s="40">
        <f>SUM(F48:F52)</f>
        <v>425.07</v>
      </c>
    </row>
    <row r="54" spans="2:7" s="107" customFormat="1" x14ac:dyDescent="0.4">
      <c r="B54" s="51" t="s">
        <v>72</v>
      </c>
      <c r="C54" s="12"/>
      <c r="D54" s="22"/>
      <c r="E54" s="20"/>
      <c r="F54" s="20"/>
    </row>
    <row r="55" spans="2:7" s="107" customFormat="1" ht="15" customHeight="1" x14ac:dyDescent="0.4">
      <c r="B55" s="1">
        <v>3</v>
      </c>
      <c r="C55" s="260" t="s">
        <v>48</v>
      </c>
      <c r="D55" s="260"/>
      <c r="E55" s="4" t="s">
        <v>1</v>
      </c>
      <c r="F55" s="4" t="s">
        <v>13</v>
      </c>
    </row>
    <row r="56" spans="2:7" s="107" customFormat="1" x14ac:dyDescent="0.4">
      <c r="B56" s="1" t="s">
        <v>2</v>
      </c>
      <c r="C56" s="301" t="s">
        <v>49</v>
      </c>
      <c r="D56" s="301"/>
      <c r="E56" s="59">
        <f>PERC_AVISO_PREVIO_IND</f>
        <v>0.28999999999999998</v>
      </c>
      <c r="F56" s="58">
        <f>PERC_AVISO_PREVIO_IND%*(MOD_1_REMUNERACAO_12X36_DIU+SUBMOD_2_1_DEC_TERC_ADIC_FERIAS_12X36_DIU+AL_2_2_FGTS_12X36_DIU+SUBMOD_2_3_BENEFICIOS_12X36_DIU)</f>
        <v>7.57</v>
      </c>
    </row>
    <row r="57" spans="2:7" s="107" customFormat="1" x14ac:dyDescent="0.4">
      <c r="B57" s="2" t="s">
        <v>3</v>
      </c>
      <c r="C57" s="303" t="s">
        <v>50</v>
      </c>
      <c r="D57" s="303"/>
      <c r="E57" s="46">
        <f>PERC_AVISO_PREVIO_TRAB</f>
        <v>1.1599999999999999</v>
      </c>
      <c r="F57" s="36">
        <f>PERC_AVISO_PREVIO_TRAB%*(MOD_1_REMUNERACAO_12X36_DIU+SUBMOD_2_1_DEC_TERC_ADIC_FERIAS_12X36_DIU+SUBMOD_2_2_GPS_FGTS_12X36_DIU+SUBMOD_2_3_BENEFICIOS_12X36_DIU)</f>
        <v>37.75</v>
      </c>
    </row>
    <row r="58" spans="2:7" s="98" customFormat="1" x14ac:dyDescent="0.25">
      <c r="B58" s="2" t="s">
        <v>4</v>
      </c>
      <c r="C58" s="301" t="s">
        <v>232</v>
      </c>
      <c r="D58" s="301"/>
      <c r="E58" s="59">
        <f>PERC_MULTA_FGTS_AV_PREV_TRAB</f>
        <v>0.04</v>
      </c>
      <c r="F58" s="58">
        <f>PERC_MULTA_FGTS_AV_PREV_TRAB%*(MOD_1_REMUNERACAO_12X36_DIU+SUBMOD_2_1_DEC_TERC_ADIC_FERIAS_12X36_DIU)</f>
        <v>0.81</v>
      </c>
    </row>
    <row r="59" spans="2:7" s="98" customFormat="1" x14ac:dyDescent="0.4">
      <c r="B59" s="268" t="s">
        <v>46</v>
      </c>
      <c r="C59" s="269"/>
      <c r="D59" s="269"/>
      <c r="E59" s="270"/>
      <c r="F59" s="41">
        <f>SUM(F56:F58)</f>
        <v>46.13</v>
      </c>
    </row>
    <row r="60" spans="2:7" ht="7.5" customHeight="1" x14ac:dyDescent="0.4">
      <c r="B60" s="16"/>
      <c r="C60" s="17"/>
      <c r="D60" s="18"/>
      <c r="E60" s="14"/>
      <c r="F60" s="14"/>
    </row>
    <row r="61" spans="2:7" s="98" customFormat="1" ht="15.9" customHeight="1" x14ac:dyDescent="0.4">
      <c r="B61" s="51" t="s">
        <v>73</v>
      </c>
      <c r="C61" s="12"/>
      <c r="D61" s="22"/>
      <c r="E61" s="13"/>
      <c r="F61" s="13"/>
    </row>
    <row r="62" spans="2:7" s="98" customFormat="1" ht="15.9" customHeight="1" x14ac:dyDescent="0.4">
      <c r="B62" s="51" t="s">
        <v>102</v>
      </c>
      <c r="C62" s="12"/>
      <c r="D62" s="22"/>
      <c r="E62" s="20"/>
      <c r="F62" s="20"/>
    </row>
    <row r="63" spans="2:7" s="98" customFormat="1" x14ac:dyDescent="0.25">
      <c r="B63" s="1" t="s">
        <v>18</v>
      </c>
      <c r="C63" s="302" t="s">
        <v>103</v>
      </c>
      <c r="D63" s="302"/>
      <c r="E63" s="4" t="s">
        <v>1</v>
      </c>
      <c r="F63" s="4" t="s">
        <v>13</v>
      </c>
    </row>
    <row r="64" spans="2:7" s="98" customFormat="1" ht="15.9" customHeight="1" x14ac:dyDescent="0.25">
      <c r="B64" s="2" t="s">
        <v>2</v>
      </c>
      <c r="C64" s="298" t="s">
        <v>104</v>
      </c>
      <c r="D64" s="298"/>
      <c r="E64" s="59">
        <f>PERC_SUBSTITUTO_FERIAS</f>
        <v>8.33</v>
      </c>
      <c r="F64" s="58">
        <f>PERC_SUBSTITUTO_FERIAS%*(MOD_1_REMUNERACAO_12X36_DIU+MOD_2_ENCARGOS_BENEFICIOS_12X36_DIU+MOD_3_PROVISAO_RESCISAO_12X36_DIU)</f>
        <v>274.92</v>
      </c>
    </row>
    <row r="65" spans="2:7" s="98" customFormat="1" ht="15.9" customHeight="1" x14ac:dyDescent="0.25">
      <c r="B65" s="2" t="s">
        <v>3</v>
      </c>
      <c r="C65" s="300" t="s">
        <v>105</v>
      </c>
      <c r="D65" s="300"/>
      <c r="E65" s="46">
        <f>PERC_SUBSTITUTO_AUSENCIAS_LEGAIS</f>
        <v>2.2200000000000002</v>
      </c>
      <c r="F65" s="36">
        <f>PERC_SUBSTITUTO_AUSENCIAS_LEGAIS%*(MOD_1_REMUNERACAO_12X36_DIU+MOD_2_ENCARGOS_BENEFICIOS_12X36_DIU+MOD_3_PROVISAO_RESCISAO_12X36_DIU)</f>
        <v>73.27</v>
      </c>
    </row>
    <row r="66" spans="2:7" s="98" customFormat="1" ht="15.9" customHeight="1" x14ac:dyDescent="0.25">
      <c r="B66" s="2" t="s">
        <v>4</v>
      </c>
      <c r="C66" s="298" t="s">
        <v>106</v>
      </c>
      <c r="D66" s="298"/>
      <c r="E66" s="59">
        <f>PERC_SUBSTITUTO_LICENCA_PATERNIDADE</f>
        <v>7.0000000000000007E-2</v>
      </c>
      <c r="F66" s="58">
        <f>PERC_SUBSTITUTO_LICENCA_PATERNIDADE%*(MOD_1_REMUNERACAO_12X36_DIU+MOD_2_ENCARGOS_BENEFICIOS_12X36_DIU+MOD_3_PROVISAO_RESCISAO_12X36_DIU)</f>
        <v>2.31</v>
      </c>
    </row>
    <row r="67" spans="2:7" s="98" customFormat="1" x14ac:dyDescent="0.25">
      <c r="B67" s="2" t="s">
        <v>5</v>
      </c>
      <c r="C67" s="300" t="s">
        <v>107</v>
      </c>
      <c r="D67" s="300"/>
      <c r="E67" s="46">
        <f>PERC_SUBSTITUTO_ACID_TRAB</f>
        <v>0.02</v>
      </c>
      <c r="F67" s="36">
        <f>PERC_SUBSTITUTO_ACID_TRAB%*(MOD_1_REMUNERACAO_12X36_DIU+MOD_2_ENCARGOS_BENEFICIOS_12X36_DIU+MOD_3_PROVISAO_RESCISAO_12X36_DIU)</f>
        <v>0.66</v>
      </c>
    </row>
    <row r="68" spans="2:7" s="98" customFormat="1" x14ac:dyDescent="0.25">
      <c r="B68" s="2" t="s">
        <v>6</v>
      </c>
      <c r="C68" s="298" t="s">
        <v>108</v>
      </c>
      <c r="D68" s="298"/>
      <c r="E68" s="59">
        <f>PERC_SUBSTITUTO_AFAST_MATERN</f>
        <v>0.04</v>
      </c>
      <c r="F68" s="58">
        <f>PERC_SUBSTITUTO_AFAST_MATERN%*(MOD_1_REMUNERACAO_12X36_DIU+MOD_2_ENCARGOS_BENEFICIOS_12X36_DIU+MOD_3_PROVISAO_RESCISAO_12X36_DIU)</f>
        <v>1.32</v>
      </c>
    </row>
    <row r="69" spans="2:7" s="98" customFormat="1" x14ac:dyDescent="0.25">
      <c r="B69" s="2" t="s">
        <v>7</v>
      </c>
      <c r="C69" s="325" t="str">
        <f>OUTRAS_AUSENCIAS_DESCRICAO</f>
        <v>Outras Ausências (Especificar - em %)</v>
      </c>
      <c r="D69" s="300"/>
      <c r="E69" s="53">
        <f>PERC_SUBSTITUTO_OUTRAS_AUSENCIAS</f>
        <v>0</v>
      </c>
      <c r="F69" s="36">
        <f>PERC_SUBSTITUTO_OUTRAS_AUSENCIAS%*(MOD_1_REMUNERACAO_12X36_DIU+MOD_2_ENCARGOS_BENEFICIOS_12X36_DIU+MOD_3_PROVISAO_RESCISAO_12X36_DIU)</f>
        <v>0</v>
      </c>
    </row>
    <row r="70" spans="2:7" s="98" customFormat="1" x14ac:dyDescent="0.4">
      <c r="B70" s="268" t="s">
        <v>46</v>
      </c>
      <c r="C70" s="269"/>
      <c r="D70" s="269"/>
      <c r="E70" s="270"/>
      <c r="F70" s="41">
        <f>SUM(F64:F69)</f>
        <v>352.48</v>
      </c>
    </row>
    <row r="71" spans="2:7" s="98" customFormat="1" ht="15" customHeight="1" x14ac:dyDescent="0.4">
      <c r="B71" s="51" t="s">
        <v>226</v>
      </c>
      <c r="C71" s="12"/>
      <c r="D71" s="22"/>
      <c r="E71" s="20"/>
      <c r="F71" s="20"/>
    </row>
    <row r="72" spans="2:7" s="98" customFormat="1" x14ac:dyDescent="0.25">
      <c r="B72" s="1" t="s">
        <v>19</v>
      </c>
      <c r="C72" s="260" t="s">
        <v>225</v>
      </c>
      <c r="D72" s="260"/>
      <c r="E72" s="260"/>
      <c r="F72" s="4" t="s">
        <v>13</v>
      </c>
    </row>
    <row r="73" spans="2:7" s="98" customFormat="1" x14ac:dyDescent="0.25">
      <c r="B73" s="1" t="s">
        <v>2</v>
      </c>
      <c r="C73" s="298" t="s">
        <v>109</v>
      </c>
      <c r="D73" s="298"/>
      <c r="E73" s="298"/>
      <c r="F73" s="57">
        <f>((MOD_1_REMUNERACAO_12X36_DIU+MOD_2_ENCARGOS_BENEFICIOS_12X36_DIU+MOD_3_PROVISAO_RESCISAO_12X36_DIU)/DIVISOR_DE_HORAS)*((TEMPO_INTERVALO_REFEICAO/HORA_NORMAL))*DIAS_TRABALHADOS_NO_MES_12X36</f>
        <v>225.03</v>
      </c>
      <c r="G73" s="140"/>
    </row>
    <row r="74" spans="2:7" s="98" customFormat="1" x14ac:dyDescent="0.4">
      <c r="B74" s="260" t="s">
        <v>46</v>
      </c>
      <c r="C74" s="260"/>
      <c r="D74" s="260"/>
      <c r="E74" s="260"/>
      <c r="F74" s="41">
        <f>SUM(F73)</f>
        <v>225.03</v>
      </c>
    </row>
    <row r="75" spans="2:7" ht="7.5" customHeight="1" x14ac:dyDescent="0.4">
      <c r="B75" s="16"/>
      <c r="C75" s="17"/>
      <c r="D75" s="18"/>
      <c r="E75" s="14"/>
      <c r="F75" s="14"/>
    </row>
    <row r="76" spans="2:7" x14ac:dyDescent="0.4">
      <c r="B76" s="51" t="s">
        <v>77</v>
      </c>
      <c r="C76" s="12"/>
      <c r="D76" s="12"/>
      <c r="E76" s="20"/>
      <c r="F76" s="20"/>
    </row>
    <row r="77" spans="2:7" ht="15.75" customHeight="1" x14ac:dyDescent="0.4">
      <c r="B77" s="49">
        <v>5</v>
      </c>
      <c r="C77" s="271" t="s">
        <v>0</v>
      </c>
      <c r="D77" s="271"/>
      <c r="E77" s="271"/>
      <c r="F77" s="50" t="s">
        <v>13</v>
      </c>
    </row>
    <row r="78" spans="2:7" x14ac:dyDescent="0.4">
      <c r="B78" s="44" t="s">
        <v>2</v>
      </c>
      <c r="C78" s="272" t="s">
        <v>16</v>
      </c>
      <c r="D78" s="272"/>
      <c r="E78" s="272"/>
      <c r="F78" s="60">
        <f>UNIFORMES</f>
        <v>244.71</v>
      </c>
    </row>
    <row r="79" spans="2:7" x14ac:dyDescent="0.4">
      <c r="B79" s="44" t="s">
        <v>3</v>
      </c>
      <c r="C79" s="273" t="s">
        <v>285</v>
      </c>
      <c r="D79" s="273"/>
      <c r="E79" s="273"/>
      <c r="F79" s="47">
        <f>MATERIAIS</f>
        <v>77.400000000000006</v>
      </c>
    </row>
    <row r="80" spans="2:7" x14ac:dyDescent="0.4">
      <c r="B80" s="44" t="s">
        <v>4</v>
      </c>
      <c r="C80" s="272" t="s">
        <v>286</v>
      </c>
      <c r="D80" s="272"/>
      <c r="E80" s="272"/>
      <c r="F80" s="60">
        <f>EQUIPAMENTOS</f>
        <v>8.09</v>
      </c>
    </row>
    <row r="81" spans="2:8" x14ac:dyDescent="0.4">
      <c r="B81" s="44" t="s">
        <v>5</v>
      </c>
      <c r="C81" s="324" t="str">
        <f>OUTROS_INSUMOS_DESCRICAO</f>
        <v>Outros (Especificar)</v>
      </c>
      <c r="D81" s="273"/>
      <c r="E81" s="273"/>
      <c r="F81" s="47">
        <f>OUTROS_INSUMOS</f>
        <v>0</v>
      </c>
    </row>
    <row r="82" spans="2:8" x14ac:dyDescent="0.4">
      <c r="B82" s="328" t="s">
        <v>46</v>
      </c>
      <c r="C82" s="328"/>
      <c r="D82" s="328"/>
      <c r="E82" s="328"/>
      <c r="F82" s="43">
        <f>SUM(F78:F81)</f>
        <v>330.2</v>
      </c>
    </row>
    <row r="83" spans="2:8" ht="7.5" customHeight="1" x14ac:dyDescent="0.4">
      <c r="B83" s="16"/>
      <c r="C83" s="17"/>
      <c r="D83" s="18"/>
      <c r="E83" s="14"/>
      <c r="F83" s="14"/>
    </row>
    <row r="84" spans="2:8" ht="15" customHeight="1" x14ac:dyDescent="0.4">
      <c r="B84" s="264" t="s">
        <v>76</v>
      </c>
      <c r="C84" s="264"/>
      <c r="D84" s="264"/>
      <c r="E84" s="264"/>
      <c r="F84" s="264"/>
    </row>
    <row r="85" spans="2:8" x14ac:dyDescent="0.4">
      <c r="B85" s="1">
        <v>6</v>
      </c>
      <c r="C85" s="260" t="s">
        <v>20</v>
      </c>
      <c r="D85" s="260"/>
      <c r="E85" s="4" t="s">
        <v>1</v>
      </c>
      <c r="F85" s="4" t="s">
        <v>13</v>
      </c>
    </row>
    <row r="86" spans="2:8" x14ac:dyDescent="0.4">
      <c r="B86" s="1" t="s">
        <v>2</v>
      </c>
      <c r="C86" s="298" t="s">
        <v>78</v>
      </c>
      <c r="D86" s="298"/>
      <c r="E86" s="61">
        <f>PERC_CUSTOS_INDIRETOS</f>
        <v>4.8499999999999996</v>
      </c>
      <c r="F86" s="58">
        <f>PERC_CUSTOS_INDIRETOS%*(MOD_1_REMUNERACAO_12X36_DIU+MOD_2_ENCARGOS_BENEFICIOS_12X36_DIU+MOD_3_PROVISAO_RESCISAO_12X36_DIU+MOD_4_CUSTO_REPOSICAO_12X36_DIU+MOD_5_INSUMOS_12X36_DIU)</f>
        <v>204.09</v>
      </c>
    </row>
    <row r="87" spans="2:8" ht="15.75" customHeight="1" x14ac:dyDescent="0.4">
      <c r="B87" s="2" t="s">
        <v>3</v>
      </c>
      <c r="C87" s="300" t="s">
        <v>32</v>
      </c>
      <c r="D87" s="300"/>
      <c r="E87" s="48">
        <f>PERC_LUCRO</f>
        <v>5.45</v>
      </c>
      <c r="F87" s="36">
        <f>PERC_LUCRO%*(MOD_1_REMUNERACAO_12X36_DIU+MOD_2_ENCARGOS_BENEFICIOS_12X36_DIU+MOD_3_PROVISAO_RESCISAO_12X36_DIU+MOD_4_CUSTO_REPOSICAO_12X36_DIU+MOD_5_INSUMOS_12X36_DIU+AL_6_A_CUSTOS_INDIRETOS_12X36_DIU)</f>
        <v>240.46</v>
      </c>
    </row>
    <row r="88" spans="2:8" x14ac:dyDescent="0.4">
      <c r="B88" s="2" t="s">
        <v>4</v>
      </c>
      <c r="C88" s="298" t="s">
        <v>21</v>
      </c>
      <c r="D88" s="298"/>
      <c r="E88" s="61">
        <f>SUM(E89:E91)</f>
        <v>8.65</v>
      </c>
      <c r="F88" s="58">
        <f>SUM(F89:F91)</f>
        <v>440.57</v>
      </c>
    </row>
    <row r="89" spans="2:8" ht="15.75" customHeight="1" x14ac:dyDescent="0.4">
      <c r="B89" s="30" t="s">
        <v>79</v>
      </c>
      <c r="C89" s="326" t="s">
        <v>23</v>
      </c>
      <c r="D89" s="326"/>
      <c r="E89" s="31">
        <f>PERC_PIS</f>
        <v>0.65</v>
      </c>
      <c r="F89" s="63">
        <f>((MOD_1_REMUNERACAO_12X36_DIU+MOD_2_ENCARGOS_BENEFICIOS_12X36_DIU+MOD_3_PROVISAO_RESCISAO_12X36_DIU+MOD_4_CUSTO_REPOSICAO_12X36_DIU+MOD_5_INSUMOS_12X36_DIU+AL_6_A_CUSTOS_INDIRETOS_12X36_DIU+AL_6_B_LUCRO_12X36_DIU)*PERC_PIS%)/(1-PERC_TRIBUTOS%)</f>
        <v>33.11</v>
      </c>
    </row>
    <row r="90" spans="2:8" x14ac:dyDescent="0.4">
      <c r="B90" s="30" t="s">
        <v>80</v>
      </c>
      <c r="C90" s="327" t="s">
        <v>24</v>
      </c>
      <c r="D90" s="327"/>
      <c r="E90" s="62">
        <f>PERC_COFINS</f>
        <v>3</v>
      </c>
      <c r="F90" s="64">
        <f>((MOD_1_REMUNERACAO_12X36_DIU+MOD_2_ENCARGOS_BENEFICIOS_12X36_DIU+MOD_3_PROVISAO_RESCISAO_12X36_DIU+MOD_4_CUSTO_REPOSICAO_12X36_DIU+MOD_5_INSUMOS_12X36_DIU+AL_6_A_CUSTOS_INDIRETOS_12X36_DIU+AL_6_B_LUCRO_12X36_DIU)*PERC_COFINS%)/(1-PERC_TRIBUTOS%)</f>
        <v>152.80000000000001</v>
      </c>
    </row>
    <row r="91" spans="2:8" s="108" customFormat="1" x14ac:dyDescent="0.4">
      <c r="B91" s="30" t="s">
        <v>81</v>
      </c>
      <c r="C91" s="326" t="s">
        <v>25</v>
      </c>
      <c r="D91" s="326"/>
      <c r="E91" s="31">
        <f>PERC_ISS</f>
        <v>5</v>
      </c>
      <c r="F91" s="63">
        <f>((MOD_1_REMUNERACAO_12X36_DIU+MOD_2_ENCARGOS_BENEFICIOS_12X36_DIU+MOD_3_PROVISAO_RESCISAO_12X36_DIU+MOD_4_CUSTO_REPOSICAO_12X36_DIU+MOD_5_INSUMOS_12X36_DIU+AL_6_A_CUSTOS_INDIRETOS_12X36_DIU+AL_6_B_LUCRO_12X36_DIU)*PERC_ISS%)/(1-PERC_TRIBUTOS%)</f>
        <v>254.66</v>
      </c>
      <c r="H91" s="13"/>
    </row>
    <row r="92" spans="2:8" s="108" customFormat="1" x14ac:dyDescent="0.4">
      <c r="B92" s="268" t="s">
        <v>46</v>
      </c>
      <c r="C92" s="269"/>
      <c r="D92" s="269"/>
      <c r="E92" s="270"/>
      <c r="F92" s="37">
        <f>AL_6_A_CUSTOS_INDIRETOS_12X36_DIU+AL_6_B_LUCRO_12X36_DIU+AL_6_C_TRIBUTOS_12X36_DIU</f>
        <v>885.12</v>
      </c>
    </row>
    <row r="93" spans="2:8" s="108" customFormat="1" x14ac:dyDescent="0.4">
      <c r="B93" s="264" t="s">
        <v>261</v>
      </c>
      <c r="C93" s="264"/>
      <c r="D93" s="264"/>
      <c r="E93" s="264"/>
      <c r="F93" s="264"/>
    </row>
    <row r="94" spans="2:8" s="108" customFormat="1" x14ac:dyDescent="0.4">
      <c r="B94" s="147" t="s">
        <v>2</v>
      </c>
      <c r="C94" s="275" t="str">
        <f>'INSERÇÃO-DE-DADOS'!C85:E85</f>
        <v>Dia do Vigilante - Clausula 82ª CCT - Jornada 12x36 diurno</v>
      </c>
      <c r="D94" s="276"/>
      <c r="E94" s="277"/>
      <c r="F94" s="57">
        <f>'INSERÇÃO-DE-DADOS'!F85</f>
        <v>8.2799999999999994</v>
      </c>
    </row>
    <row r="95" spans="2:8" s="108" customFormat="1" ht="20.399999999999999" x14ac:dyDescent="0.4">
      <c r="B95" s="52" t="s">
        <v>53</v>
      </c>
      <c r="C95" s="15"/>
      <c r="D95" s="15"/>
      <c r="E95" s="15"/>
      <c r="F95" s="23"/>
    </row>
    <row r="96" spans="2:8" s="109" customFormat="1" ht="16.5" customHeight="1" x14ac:dyDescent="0.4">
      <c r="B96" s="2" t="s">
        <v>98</v>
      </c>
      <c r="C96" s="257" t="s">
        <v>99</v>
      </c>
      <c r="D96" s="258"/>
      <c r="E96" s="259"/>
      <c r="F96" s="4" t="s">
        <v>17</v>
      </c>
      <c r="H96" s="128"/>
    </row>
    <row r="97" spans="2:8" s="108" customFormat="1" x14ac:dyDescent="0.4">
      <c r="B97" s="1">
        <v>1</v>
      </c>
      <c r="C97" s="298" t="s">
        <v>9</v>
      </c>
      <c r="D97" s="298"/>
      <c r="E97" s="298"/>
      <c r="F97" s="58">
        <f>MOD_1_REMUNERACAO_12X36_DIU</f>
        <v>1821.39</v>
      </c>
    </row>
    <row r="98" spans="2:8" s="110" customFormat="1" ht="16.5" customHeight="1" x14ac:dyDescent="0.4">
      <c r="B98" s="2">
        <v>2</v>
      </c>
      <c r="C98" s="300" t="s">
        <v>100</v>
      </c>
      <c r="D98" s="300"/>
      <c r="E98" s="300"/>
      <c r="F98" s="36">
        <f>MOD_2_ENCARGOS_BENEFICIOS_12X36_DIU</f>
        <v>1432.87</v>
      </c>
    </row>
    <row r="99" spans="2:8" s="110" customFormat="1" x14ac:dyDescent="0.4">
      <c r="B99" s="2">
        <v>3</v>
      </c>
      <c r="C99" s="298" t="s">
        <v>48</v>
      </c>
      <c r="D99" s="298"/>
      <c r="E99" s="298"/>
      <c r="F99" s="58">
        <f>MOD_3_PROVISAO_RESCISAO_12X36_DIU</f>
        <v>46.13</v>
      </c>
    </row>
    <row r="100" spans="2:8" s="110" customFormat="1" x14ac:dyDescent="0.4">
      <c r="B100" s="2">
        <v>4</v>
      </c>
      <c r="C100" s="300" t="s">
        <v>51</v>
      </c>
      <c r="D100" s="300"/>
      <c r="E100" s="300"/>
      <c r="F100" s="36">
        <f>MOD_4_CUSTO_REPOSICAO_12X36_DIU</f>
        <v>577.51</v>
      </c>
    </row>
    <row r="101" spans="2:8" s="110" customFormat="1" x14ac:dyDescent="0.4">
      <c r="B101" s="2">
        <v>5</v>
      </c>
      <c r="C101" s="298" t="s">
        <v>0</v>
      </c>
      <c r="D101" s="298"/>
      <c r="E101" s="298"/>
      <c r="F101" s="58">
        <f>MOD_5_INSUMOS_12X36_DIU</f>
        <v>330.2</v>
      </c>
    </row>
    <row r="102" spans="2:8" s="110" customFormat="1" x14ac:dyDescent="0.4">
      <c r="B102" s="2">
        <v>6</v>
      </c>
      <c r="C102" s="300" t="s">
        <v>20</v>
      </c>
      <c r="D102" s="300"/>
      <c r="E102" s="300"/>
      <c r="F102" s="36">
        <f>MOD_6_CUSTOS_IND_LUCRO_TRIB_12X36_DIU</f>
        <v>885.12</v>
      </c>
    </row>
    <row r="103" spans="2:8" s="110" customFormat="1" x14ac:dyDescent="0.4">
      <c r="B103" s="2">
        <v>7</v>
      </c>
      <c r="C103" s="249" t="str">
        <f>C94</f>
        <v>Dia do Vigilante - Clausula 82ª CCT - Jornada 12x36 diurno</v>
      </c>
      <c r="D103" s="298"/>
      <c r="E103" s="298"/>
      <c r="F103" s="58">
        <f>F94</f>
        <v>8.2799999999999994</v>
      </c>
    </row>
    <row r="104" spans="2:8" ht="16.5" customHeight="1" x14ac:dyDescent="0.4">
      <c r="B104" s="302" t="s">
        <v>101</v>
      </c>
      <c r="C104" s="302"/>
      <c r="D104" s="302"/>
      <c r="E104" s="302"/>
      <c r="F104" s="37">
        <f>SUM(F97:F103)</f>
        <v>5101.5</v>
      </c>
      <c r="H104" s="129"/>
    </row>
    <row r="105" spans="2:8" ht="16.5" customHeight="1" x14ac:dyDescent="0.4">
      <c r="B105" s="302" t="s">
        <v>30</v>
      </c>
      <c r="C105" s="302"/>
      <c r="D105" s="302"/>
      <c r="E105" s="302"/>
      <c r="F105" s="37">
        <f>VALOR_TOTAL_EMPREGADO_12x36_DIU*EMPREG_POR_POSTO_12X36_DIU</f>
        <v>10203</v>
      </c>
    </row>
  </sheetData>
  <mergeCells count="92">
    <mergeCell ref="C10:E10"/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  <mergeCell ref="C25:E25"/>
    <mergeCell ref="C11:E11"/>
    <mergeCell ref="C12:E12"/>
    <mergeCell ref="C15:D15"/>
    <mergeCell ref="E15:F15"/>
    <mergeCell ref="D16:F16"/>
    <mergeCell ref="D17:F17"/>
    <mergeCell ref="C18:E18"/>
    <mergeCell ref="B20:F20"/>
    <mergeCell ref="B21:E21"/>
    <mergeCell ref="C23:E23"/>
    <mergeCell ref="C24:E24"/>
    <mergeCell ref="C39:D39"/>
    <mergeCell ref="C26:E26"/>
    <mergeCell ref="C27:E27"/>
    <mergeCell ref="B28:E28"/>
    <mergeCell ref="C31:D31"/>
    <mergeCell ref="C32:D32"/>
    <mergeCell ref="C33:D33"/>
    <mergeCell ref="B34:E34"/>
    <mergeCell ref="B35:F35"/>
    <mergeCell ref="C36:D36"/>
    <mergeCell ref="C37:D37"/>
    <mergeCell ref="C38:D38"/>
    <mergeCell ref="C52:E52"/>
    <mergeCell ref="C40:D40"/>
    <mergeCell ref="C41:D41"/>
    <mergeCell ref="C42:D42"/>
    <mergeCell ref="C43:D43"/>
    <mergeCell ref="C44:D44"/>
    <mergeCell ref="B45:E45"/>
    <mergeCell ref="C47:E47"/>
    <mergeCell ref="C48:E48"/>
    <mergeCell ref="C49:E49"/>
    <mergeCell ref="C50:E50"/>
    <mergeCell ref="C51:E51"/>
    <mergeCell ref="C68:D68"/>
    <mergeCell ref="B53:E53"/>
    <mergeCell ref="C55:D55"/>
    <mergeCell ref="C56:D56"/>
    <mergeCell ref="C57:D57"/>
    <mergeCell ref="C58:D58"/>
    <mergeCell ref="B59:E59"/>
    <mergeCell ref="C63:D63"/>
    <mergeCell ref="C64:D64"/>
    <mergeCell ref="C65:D65"/>
    <mergeCell ref="C66:D66"/>
    <mergeCell ref="C67:D67"/>
    <mergeCell ref="B84:F84"/>
    <mergeCell ref="C69:D69"/>
    <mergeCell ref="B70:E70"/>
    <mergeCell ref="C72:E72"/>
    <mergeCell ref="C73:E73"/>
    <mergeCell ref="B74:E74"/>
    <mergeCell ref="C77:E77"/>
    <mergeCell ref="C78:E78"/>
    <mergeCell ref="C79:E79"/>
    <mergeCell ref="C80:E80"/>
    <mergeCell ref="C81:E81"/>
    <mergeCell ref="B82:E82"/>
    <mergeCell ref="C97:E97"/>
    <mergeCell ref="C85:D85"/>
    <mergeCell ref="C86:D86"/>
    <mergeCell ref="C87:D87"/>
    <mergeCell ref="C88:D88"/>
    <mergeCell ref="C89:D89"/>
    <mergeCell ref="C90:D90"/>
    <mergeCell ref="C91:D91"/>
    <mergeCell ref="B92:E92"/>
    <mergeCell ref="B93:F93"/>
    <mergeCell ref="C94:E94"/>
    <mergeCell ref="C96:E96"/>
    <mergeCell ref="B104:E104"/>
    <mergeCell ref="B105:E105"/>
    <mergeCell ref="C98:E98"/>
    <mergeCell ref="C99:E99"/>
    <mergeCell ref="C100:E100"/>
    <mergeCell ref="C101:E101"/>
    <mergeCell ref="C102:E102"/>
    <mergeCell ref="C103:E103"/>
  </mergeCells>
  <printOptions horizontalCentered="1"/>
  <pageMargins left="0.15748031496062992" right="0.23622047244094491" top="0.24" bottom="0.15748031496062992" header="0.23622047244094491" footer="0.15748031496062992"/>
  <pageSetup paperSize="9" firstPageNumber="0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5"/>
  <sheetViews>
    <sheetView topLeftCell="A24" zoomScaleNormal="100" zoomScaleSheetLayoutView="100" workbookViewId="0">
      <selection activeCell="F24" sqref="F24"/>
    </sheetView>
  </sheetViews>
  <sheetFormatPr defaultColWidth="9.109375" defaultRowHeight="16.8" x14ac:dyDescent="0.4"/>
  <cols>
    <col min="1" max="1" width="2.6640625" style="13" customWidth="1"/>
    <col min="2" max="2" width="8.88671875" style="13" customWidth="1"/>
    <col min="3" max="3" width="52.5546875" style="19" customWidth="1"/>
    <col min="4" max="4" width="7.88671875" style="19" customWidth="1"/>
    <col min="5" max="5" width="13.5546875" style="19" customWidth="1"/>
    <col min="6" max="6" width="15.44140625" style="19" bestFit="1" customWidth="1"/>
    <col min="7" max="7" width="9.6640625" style="13" bestFit="1" customWidth="1"/>
    <col min="8" max="16384" width="9.109375" style="13"/>
  </cols>
  <sheetData>
    <row r="1" spans="2:6" ht="20.399999999999999" x14ac:dyDescent="0.45">
      <c r="B1" s="313" t="str">
        <f>RAMO</f>
        <v>RAMO: MINISTÉRIO PÚBLIC FEDERAL</v>
      </c>
      <c r="C1" s="314"/>
      <c r="D1" s="314"/>
      <c r="E1" s="314"/>
      <c r="F1" s="315"/>
    </row>
    <row r="2" spans="2:6" ht="20.399999999999999" x14ac:dyDescent="0.45">
      <c r="B2" s="316" t="str">
        <f>UG</f>
        <v>UNIDADE GESTORA (SIGLA): PR-PA</v>
      </c>
      <c r="C2" s="317"/>
      <c r="D2" s="318"/>
      <c r="E2" s="113" t="s">
        <v>57</v>
      </c>
      <c r="F2" s="114" t="str">
        <f>DATA_DO_ORCAMENTO_ESTIMATIVO</f>
        <v>XX/XX/20XX</v>
      </c>
    </row>
    <row r="3" spans="2:6" s="98" customFormat="1" ht="24.6" x14ac:dyDescent="0.55000000000000004">
      <c r="B3" s="281" t="s">
        <v>55</v>
      </c>
      <c r="C3" s="281"/>
      <c r="D3" s="281"/>
      <c r="E3" s="281"/>
      <c r="F3" s="281"/>
    </row>
    <row r="4" spans="2:6" s="98" customFormat="1" ht="15.9" customHeight="1" x14ac:dyDescent="0.4">
      <c r="B4" s="282" t="s">
        <v>97</v>
      </c>
      <c r="C4" s="282"/>
      <c r="D4" s="282"/>
      <c r="E4" s="282"/>
      <c r="F4" s="282"/>
    </row>
    <row r="5" spans="2:6" s="98" customFormat="1" ht="15.9" customHeight="1" x14ac:dyDescent="0.4">
      <c r="B5" s="285" t="s">
        <v>223</v>
      </c>
      <c r="C5" s="285"/>
      <c r="D5" s="319" t="str">
        <f>NUMERO_PROCESSO</f>
        <v>1.23.000.000855/2020-32</v>
      </c>
      <c r="E5" s="319"/>
      <c r="F5" s="319"/>
    </row>
    <row r="6" spans="2:6" s="98" customFormat="1" ht="15.75" customHeight="1" x14ac:dyDescent="0.4">
      <c r="B6" s="289" t="s">
        <v>224</v>
      </c>
      <c r="C6" s="289"/>
      <c r="D6" s="320" t="str">
        <f>MODALIDADE_DE_LICITACAO</f>
        <v>Pregão nº</v>
      </c>
      <c r="E6" s="320"/>
      <c r="F6" s="118" t="str">
        <f>NUMERO_PREGAO</f>
        <v>XX/20XX</v>
      </c>
    </row>
    <row r="7" spans="2:6" s="99" customFormat="1" ht="15.75" customHeight="1" x14ac:dyDescent="0.45">
      <c r="B7" s="321" t="s">
        <v>58</v>
      </c>
      <c r="C7" s="321"/>
      <c r="D7" s="321"/>
      <c r="E7" s="321"/>
      <c r="F7" s="321"/>
    </row>
    <row r="8" spans="2:6" s="98" customFormat="1" ht="18" customHeight="1" x14ac:dyDescent="0.4">
      <c r="B8" s="25" t="s">
        <v>2</v>
      </c>
      <c r="C8" s="285" t="s">
        <v>63</v>
      </c>
      <c r="D8" s="285"/>
      <c r="E8" s="285"/>
      <c r="F8" s="119" t="str">
        <f>DATA_APRESENTACAO_PROPOSTA</f>
        <v>XX/XX/20XX</v>
      </c>
    </row>
    <row r="9" spans="2:6" s="98" customFormat="1" ht="15.9" customHeight="1" x14ac:dyDescent="0.25">
      <c r="B9" s="1" t="s">
        <v>3</v>
      </c>
      <c r="C9" s="67" t="s">
        <v>36</v>
      </c>
      <c r="D9" s="311" t="s">
        <v>265</v>
      </c>
      <c r="E9" s="311"/>
      <c r="F9" s="311"/>
    </row>
    <row r="10" spans="2:6" s="98" customFormat="1" ht="18.75" customHeight="1" x14ac:dyDescent="0.4">
      <c r="B10" s="25" t="s">
        <v>4</v>
      </c>
      <c r="C10" s="285" t="s">
        <v>37</v>
      </c>
      <c r="D10" s="285"/>
      <c r="E10" s="285"/>
      <c r="F10" s="120" t="str">
        <f>ACORDO_COLETIVO</f>
        <v>CCT 2020/2021</v>
      </c>
    </row>
    <row r="11" spans="2:6" s="98" customFormat="1" ht="15.9" customHeight="1" x14ac:dyDescent="0.4">
      <c r="B11" s="1" t="s">
        <v>5</v>
      </c>
      <c r="C11" s="311" t="s">
        <v>64</v>
      </c>
      <c r="D11" s="311"/>
      <c r="E11" s="311"/>
      <c r="F11" s="121">
        <f>NUMERO_MESES_EXEC_CONTRATUAL</f>
        <v>12</v>
      </c>
    </row>
    <row r="12" spans="2:6" s="98" customFormat="1" x14ac:dyDescent="0.4">
      <c r="B12" s="1" t="s">
        <v>6</v>
      </c>
      <c r="C12" s="312" t="s">
        <v>85</v>
      </c>
      <c r="D12" s="312"/>
      <c r="E12" s="312"/>
      <c r="F12" s="102">
        <v>1</v>
      </c>
    </row>
    <row r="13" spans="2:6" s="127" customFormat="1" ht="21" customHeight="1" x14ac:dyDescent="0.25">
      <c r="B13" s="125" t="s">
        <v>205</v>
      </c>
      <c r="C13" s="126"/>
      <c r="D13" s="126"/>
      <c r="E13" s="126"/>
      <c r="F13" s="126"/>
    </row>
    <row r="14" spans="2:6" s="98" customFormat="1" x14ac:dyDescent="0.4">
      <c r="B14" s="25">
        <v>1</v>
      </c>
      <c r="C14" s="243" t="s">
        <v>60</v>
      </c>
      <c r="D14" s="243"/>
      <c r="E14" s="247" t="str">
        <f>TIPO_DE_SERVICO</f>
        <v>Vigilância</v>
      </c>
      <c r="F14" s="247"/>
    </row>
    <row r="15" spans="2:6" s="99" customFormat="1" x14ac:dyDescent="0.4">
      <c r="B15" s="25">
        <v>2</v>
      </c>
      <c r="C15" s="27" t="s">
        <v>59</v>
      </c>
      <c r="D15" s="246" t="str">
        <f>CBO</f>
        <v>5173-30</v>
      </c>
      <c r="E15" s="246"/>
      <c r="F15" s="246"/>
    </row>
    <row r="16" spans="2:6" s="98" customFormat="1" ht="15" customHeight="1" x14ac:dyDescent="0.4">
      <c r="B16" s="25">
        <v>3</v>
      </c>
      <c r="C16" s="56" t="s">
        <v>61</v>
      </c>
      <c r="D16" s="247" t="str">
        <f>CATEGORIA_PROFISSIONAL</f>
        <v>Vigilante</v>
      </c>
      <c r="E16" s="247"/>
      <c r="F16" s="247"/>
    </row>
    <row r="17" spans="2:6" s="98" customFormat="1" ht="15" customHeight="1" x14ac:dyDescent="0.4">
      <c r="B17" s="25">
        <v>4</v>
      </c>
      <c r="C17" s="248" t="s">
        <v>62</v>
      </c>
      <c r="D17" s="248"/>
      <c r="E17" s="248"/>
      <c r="F17" s="135">
        <f>DATA_BASE_CATEGORIA</f>
        <v>43831</v>
      </c>
    </row>
    <row r="18" spans="2:6" s="124" customFormat="1" ht="30" customHeight="1" x14ac:dyDescent="0.4">
      <c r="B18" s="322" t="s">
        <v>40</v>
      </c>
      <c r="C18" s="322"/>
      <c r="D18" s="322"/>
      <c r="E18" s="322"/>
      <c r="F18" s="322"/>
    </row>
    <row r="19" spans="2:6" x14ac:dyDescent="0.4">
      <c r="B19" s="260" t="s">
        <v>52</v>
      </c>
      <c r="C19" s="260"/>
      <c r="D19" s="260"/>
      <c r="E19" s="260"/>
      <c r="F19" s="117">
        <v>2</v>
      </c>
    </row>
    <row r="20" spans="2:6" x14ac:dyDescent="0.4">
      <c r="B20" s="51" t="s">
        <v>8</v>
      </c>
      <c r="E20" s="14"/>
      <c r="F20" s="14"/>
    </row>
    <row r="21" spans="2:6" x14ac:dyDescent="0.4">
      <c r="B21" s="1">
        <v>1</v>
      </c>
      <c r="C21" s="250" t="s">
        <v>9</v>
      </c>
      <c r="D21" s="250"/>
      <c r="E21" s="250"/>
      <c r="F21" s="4" t="s">
        <v>13</v>
      </c>
    </row>
    <row r="22" spans="2:6" x14ac:dyDescent="0.4">
      <c r="B22" s="1" t="s">
        <v>2</v>
      </c>
      <c r="C22" s="249" t="s">
        <v>92</v>
      </c>
      <c r="D22" s="249"/>
      <c r="E22" s="249"/>
      <c r="F22" s="57">
        <f>SALARIO_BASE</f>
        <v>1401.07</v>
      </c>
    </row>
    <row r="23" spans="2:6" x14ac:dyDescent="0.4">
      <c r="B23" s="1" t="s">
        <v>3</v>
      </c>
      <c r="C23" s="300" t="s">
        <v>94</v>
      </c>
      <c r="D23" s="300"/>
      <c r="E23" s="300"/>
      <c r="F23" s="10">
        <f>PERC_ADIC_PERIC%*SALARIO_BASE</f>
        <v>420.32</v>
      </c>
    </row>
    <row r="24" spans="2:6" ht="15.75" customHeight="1" x14ac:dyDescent="0.4">
      <c r="B24" s="1" t="s">
        <v>4</v>
      </c>
      <c r="C24" s="331" t="s">
        <v>83</v>
      </c>
      <c r="D24" s="331"/>
      <c r="E24" s="331"/>
      <c r="F24" s="57">
        <f>7*15.2*0.2*((AL_1_A_SAL_BASE_12X36_NOT+AL_1_B_ADIC_PERIC_12X36_NOT)/220)</f>
        <v>176.18</v>
      </c>
    </row>
    <row r="25" spans="2:6" ht="15.75" customHeight="1" x14ac:dyDescent="0.4">
      <c r="B25" s="1" t="s">
        <v>5</v>
      </c>
      <c r="C25" s="300" t="s">
        <v>87</v>
      </c>
      <c r="D25" s="300"/>
      <c r="E25" s="300"/>
      <c r="F25" s="237">
        <f>((AL_1_A_SAL_BASE_12X36_NOT+AL_1_B_ADIC_PERIC_12X36_NOT)/DIVISOR_DE_HORAS)*((HORA_NORMAL-HORA_NOTURNA)/HORA_NOTURNA)*DIAS_NA_SEMANA*MEDIA_ANUAL_DIAS_TRABALHO_MES*1.2*1.5</f>
        <v>226.51</v>
      </c>
    </row>
    <row r="26" spans="2:6" x14ac:dyDescent="0.4">
      <c r="B26" s="1" t="s">
        <v>6</v>
      </c>
      <c r="C26" s="275" t="str">
        <f>OUTROS_REMUNERACAO_1_DESCRICAO</f>
        <v>DSR - Adicional noturno - 1/6</v>
      </c>
      <c r="D26" s="276"/>
      <c r="E26" s="277"/>
      <c r="F26" s="57">
        <f>1/6*AL_1_C_ADIC_NOT_12X36_NOT</f>
        <v>29.36</v>
      </c>
    </row>
    <row r="27" spans="2:6" x14ac:dyDescent="0.4">
      <c r="B27" s="1" t="s">
        <v>7</v>
      </c>
      <c r="C27" s="305" t="str">
        <f>OUTROS_REMUNERACAO_2_DESCRICAO</f>
        <v>DSR - Hora noturna reduzida - 1/6</v>
      </c>
      <c r="D27" s="306"/>
      <c r="E27" s="307"/>
      <c r="F27" s="10">
        <f>1/6*AL_1_D_ADIC_NOT_RED_12X36_NOT</f>
        <v>37.75</v>
      </c>
    </row>
    <row r="28" spans="2:6" x14ac:dyDescent="0.4">
      <c r="B28" s="329" t="s">
        <v>46</v>
      </c>
      <c r="C28" s="329"/>
      <c r="D28" s="329"/>
      <c r="E28" s="329"/>
      <c r="F28" s="40">
        <f>SUM(F22:F27)</f>
        <v>2291.19</v>
      </c>
    </row>
    <row r="29" spans="2:6" x14ac:dyDescent="0.4">
      <c r="B29" s="51" t="s">
        <v>65</v>
      </c>
      <c r="E29" s="21"/>
      <c r="F29" s="21"/>
    </row>
    <row r="30" spans="2:6" x14ac:dyDescent="0.4">
      <c r="B30" s="51" t="s">
        <v>110</v>
      </c>
      <c r="C30" s="12"/>
      <c r="D30" s="22"/>
      <c r="E30" s="20"/>
      <c r="F30" s="20"/>
    </row>
    <row r="31" spans="2:6" x14ac:dyDescent="0.4">
      <c r="B31" s="1" t="s">
        <v>66</v>
      </c>
      <c r="C31" s="260" t="s">
        <v>93</v>
      </c>
      <c r="D31" s="260"/>
      <c r="E31" s="4" t="s">
        <v>1</v>
      </c>
      <c r="F31" s="4" t="s">
        <v>13</v>
      </c>
    </row>
    <row r="32" spans="2:6" x14ac:dyDescent="0.4">
      <c r="B32" s="1" t="s">
        <v>2</v>
      </c>
      <c r="C32" s="298" t="s">
        <v>47</v>
      </c>
      <c r="D32" s="298"/>
      <c r="E32" s="59">
        <f>PERC_DEC_TERC</f>
        <v>8.33</v>
      </c>
      <c r="F32" s="58">
        <f>PERC_DEC_TERC%*MOD_1_REMUNERACAO_12X36_NOT</f>
        <v>190.86</v>
      </c>
    </row>
    <row r="33" spans="2:9" s="17" customFormat="1" x14ac:dyDescent="0.4">
      <c r="B33" s="2" t="s">
        <v>3</v>
      </c>
      <c r="C33" s="300" t="s">
        <v>95</v>
      </c>
      <c r="D33" s="300"/>
      <c r="E33" s="38">
        <f>PERC_ADIC_FERIAS</f>
        <v>2.78</v>
      </c>
      <c r="F33" s="36">
        <f>PERC_ADIC_FERIAS%*MOD_1_REMUNERACAO_12X36_NOT</f>
        <v>63.7</v>
      </c>
    </row>
    <row r="34" spans="2:9" s="107" customFormat="1" x14ac:dyDescent="0.4">
      <c r="B34" s="268" t="s">
        <v>46</v>
      </c>
      <c r="C34" s="269"/>
      <c r="D34" s="269"/>
      <c r="E34" s="270"/>
      <c r="F34" s="41">
        <f>SUM(F32:F33)</f>
        <v>254.56</v>
      </c>
    </row>
    <row r="35" spans="2:9" s="107" customFormat="1" ht="31.5" customHeight="1" x14ac:dyDescent="0.4">
      <c r="B35" s="330" t="s">
        <v>68</v>
      </c>
      <c r="C35" s="330"/>
      <c r="D35" s="330"/>
      <c r="E35" s="330"/>
      <c r="F35" s="330"/>
    </row>
    <row r="36" spans="2:9" s="107" customFormat="1" ht="34.5" customHeight="1" x14ac:dyDescent="0.4">
      <c r="B36" s="1" t="s">
        <v>69</v>
      </c>
      <c r="C36" s="304" t="s">
        <v>96</v>
      </c>
      <c r="D36" s="304"/>
      <c r="E36" s="4" t="s">
        <v>1</v>
      </c>
      <c r="F36" s="4" t="s">
        <v>13</v>
      </c>
    </row>
    <row r="37" spans="2:9" x14ac:dyDescent="0.4">
      <c r="B37" s="1" t="s">
        <v>2</v>
      </c>
      <c r="C37" s="298" t="s">
        <v>41</v>
      </c>
      <c r="D37" s="298"/>
      <c r="E37" s="59">
        <f>PERC_INSS</f>
        <v>20</v>
      </c>
      <c r="F37" s="58">
        <f>PERC_INSS%*(MOD_1_REMUNERACAO_12X36_NOT+SUBMOD_2_1_DEC_TERC_ADIC_FERIAS_12X36_NOT)</f>
        <v>509.15</v>
      </c>
    </row>
    <row r="38" spans="2:9" s="98" customFormat="1" x14ac:dyDescent="0.25">
      <c r="B38" s="2" t="s">
        <v>3</v>
      </c>
      <c r="C38" s="300" t="s">
        <v>43</v>
      </c>
      <c r="D38" s="300"/>
      <c r="E38" s="46">
        <f>PERC_SAL_EDUCACAO</f>
        <v>2.5</v>
      </c>
      <c r="F38" s="36">
        <f>PERC_SAL_EDUCACAO%*(MOD_1_REMUNERACAO_12X36_NOT+SUBMOD_2_1_DEC_TERC_ADIC_FERIAS_12X36_NOT)</f>
        <v>63.64</v>
      </c>
    </row>
    <row r="39" spans="2:9" s="98" customFormat="1" x14ac:dyDescent="0.25">
      <c r="B39" s="2" t="s">
        <v>4</v>
      </c>
      <c r="C39" s="275" t="s">
        <v>236</v>
      </c>
      <c r="D39" s="276"/>
      <c r="E39" s="59">
        <f>PERC_RAT</f>
        <v>6</v>
      </c>
      <c r="F39" s="58">
        <f>PERC_RAT%*(MOD_1_REMUNERACAO_12X36_NOT+SUBMOD_2_1_DEC_TERC_ADIC_FERIAS_12X36_NOT)</f>
        <v>152.75</v>
      </c>
    </row>
    <row r="40" spans="2:9" s="98" customFormat="1" x14ac:dyDescent="0.25">
      <c r="B40" s="2" t="s">
        <v>5</v>
      </c>
      <c r="C40" s="300" t="s">
        <v>88</v>
      </c>
      <c r="D40" s="300"/>
      <c r="E40" s="38">
        <f>PERC_SESC</f>
        <v>1.5</v>
      </c>
      <c r="F40" s="36">
        <f>PERC_SESC%*(MOD_1_REMUNERACAO_12X36_NOT+SUBMOD_2_1_DEC_TERC_ADIC_FERIAS_12X36_NOT)</f>
        <v>38.19</v>
      </c>
      <c r="I40" s="143"/>
    </row>
    <row r="41" spans="2:9" s="98" customFormat="1" x14ac:dyDescent="0.25">
      <c r="B41" s="2" t="s">
        <v>6</v>
      </c>
      <c r="C41" s="298" t="s">
        <v>89</v>
      </c>
      <c r="D41" s="298"/>
      <c r="E41" s="59">
        <f>PERC_SENAC</f>
        <v>1</v>
      </c>
      <c r="F41" s="58">
        <f>PERC_SENAC%*(MOD_1_REMUNERACAO_12X36_NOT+SUBMOD_2_1_DEC_TERC_ADIC_FERIAS_12X36_NOT)</f>
        <v>25.46</v>
      </c>
    </row>
    <row r="42" spans="2:9" s="99" customFormat="1" x14ac:dyDescent="0.25">
      <c r="B42" s="2" t="s">
        <v>7</v>
      </c>
      <c r="C42" s="300" t="s">
        <v>45</v>
      </c>
      <c r="D42" s="300"/>
      <c r="E42" s="46">
        <f>PERC_SEBRAE</f>
        <v>0.6</v>
      </c>
      <c r="F42" s="36">
        <f>PERC_SEBRAE%*(MOD_1_REMUNERACAO_12X36_NOT+SUBMOD_2_1_DEC_TERC_ADIC_FERIAS_12X36_NOT)</f>
        <v>15.27</v>
      </c>
    </row>
    <row r="43" spans="2:9" s="99" customFormat="1" x14ac:dyDescent="0.25">
      <c r="B43" s="2" t="s">
        <v>10</v>
      </c>
      <c r="C43" s="298" t="s">
        <v>42</v>
      </c>
      <c r="D43" s="298"/>
      <c r="E43" s="59">
        <f>PERC_INCRA</f>
        <v>0.2</v>
      </c>
      <c r="F43" s="58">
        <f>PERC_INCRA%*(MOD_1_REMUNERACAO_12X36_NOT+SUBMOD_2_1_DEC_TERC_ADIC_FERIAS_12X36_NOT)</f>
        <v>5.09</v>
      </c>
    </row>
    <row r="44" spans="2:9" x14ac:dyDescent="0.4">
      <c r="B44" s="2" t="s">
        <v>11</v>
      </c>
      <c r="C44" s="300" t="s">
        <v>44</v>
      </c>
      <c r="D44" s="300"/>
      <c r="E44" s="46">
        <f>PERC_FGTS</f>
        <v>8</v>
      </c>
      <c r="F44" s="36">
        <f>PERC_FGTS%*(MOD_1_REMUNERACAO_12X36_NOT+SUBMOD_2_1_DEC_TERC_ADIC_FERIAS_12X36_NOT)</f>
        <v>203.66</v>
      </c>
    </row>
    <row r="45" spans="2:9" x14ac:dyDescent="0.4">
      <c r="B45" s="268" t="s">
        <v>46</v>
      </c>
      <c r="C45" s="269"/>
      <c r="D45" s="269"/>
      <c r="E45" s="270"/>
      <c r="F45" s="42">
        <f>SUM(F37:F44)</f>
        <v>1013.21</v>
      </c>
    </row>
    <row r="46" spans="2:9" ht="15.75" customHeight="1" x14ac:dyDescent="0.4">
      <c r="B46" s="51" t="s">
        <v>71</v>
      </c>
      <c r="C46" s="99"/>
      <c r="D46" s="99"/>
      <c r="E46" s="99"/>
      <c r="F46" s="99"/>
    </row>
    <row r="47" spans="2:9" ht="15.75" customHeight="1" x14ac:dyDescent="0.4">
      <c r="B47" s="1" t="s">
        <v>90</v>
      </c>
      <c r="C47" s="250" t="s">
        <v>14</v>
      </c>
      <c r="D47" s="250"/>
      <c r="E47" s="250"/>
      <c r="F47" s="4" t="s">
        <v>13</v>
      </c>
    </row>
    <row r="48" spans="2:9" x14ac:dyDescent="0.4">
      <c r="B48" s="25" t="s">
        <v>2</v>
      </c>
      <c r="C48" s="298" t="s">
        <v>15</v>
      </c>
      <c r="D48" s="298"/>
      <c r="E48" s="298"/>
      <c r="F48" s="58">
        <f>IF((((2.7*2)*DIAS_TRABALHADOS_NO_MES_12X36)-(PERC_DESC_TRANSP_REMUNERACAO%*(AL_1_A_SAL_BASE_12X36_NOT/2)))&gt;0,(((2.7*2)*DIAS_TRABALHADOS_NO_MES_12X36)-(PERC_DESC_TRANSP_REMUNERACAO%*(AL_1_A_SAL_BASE_12X36_NOT/2))),0)</f>
        <v>38.97</v>
      </c>
      <c r="G48" s="145"/>
    </row>
    <row r="49" spans="2:7" s="107" customFormat="1" x14ac:dyDescent="0.4">
      <c r="B49" s="25" t="s">
        <v>3</v>
      </c>
      <c r="C49" s="300" t="s">
        <v>70</v>
      </c>
      <c r="D49" s="300"/>
      <c r="E49" s="300"/>
      <c r="F49" s="36">
        <f>ALIMENTACAO_POR_DIA*DIAS_TRABALHADOS_NO_MES_12X36*0.99</f>
        <v>386.1</v>
      </c>
      <c r="G49" s="13"/>
    </row>
    <row r="50" spans="2:7" s="107" customFormat="1" x14ac:dyDescent="0.4">
      <c r="B50" s="25" t="s">
        <v>4</v>
      </c>
      <c r="C50" s="275" t="str">
        <f>OUTROS_BENEFICIOS_1_DESCRICAO</f>
        <v>Auxílio saúde</v>
      </c>
      <c r="D50" s="276"/>
      <c r="E50" s="277"/>
      <c r="F50" s="58"/>
      <c r="G50" s="13"/>
    </row>
    <row r="51" spans="2:7" s="107" customFormat="1" x14ac:dyDescent="0.4">
      <c r="B51" s="25" t="s">
        <v>5</v>
      </c>
      <c r="C51" s="305" t="str">
        <f>OUTROS_BENEFICIOS_2_DESCRICAO</f>
        <v>Auxílio morte/funeral</v>
      </c>
      <c r="D51" s="306"/>
      <c r="E51" s="307"/>
      <c r="F51" s="36"/>
      <c r="G51" s="13"/>
    </row>
    <row r="52" spans="2:7" s="107" customFormat="1" x14ac:dyDescent="0.4">
      <c r="B52" s="25" t="s">
        <v>6</v>
      </c>
      <c r="C52" s="275" t="str">
        <f>OUTROS_BENEFICIOS_3_DESCRICAO</f>
        <v>Seguro de vida</v>
      </c>
      <c r="D52" s="276"/>
      <c r="E52" s="277"/>
      <c r="F52" s="58"/>
    </row>
    <row r="53" spans="2:7" s="107" customFormat="1" ht="15" customHeight="1" x14ac:dyDescent="0.4">
      <c r="B53" s="329" t="s">
        <v>46</v>
      </c>
      <c r="C53" s="329"/>
      <c r="D53" s="329"/>
      <c r="E53" s="329"/>
      <c r="F53" s="40">
        <f>SUM(F48:F52)</f>
        <v>425.07</v>
      </c>
    </row>
    <row r="54" spans="2:7" s="107" customFormat="1" x14ac:dyDescent="0.4">
      <c r="B54" s="51" t="s">
        <v>72</v>
      </c>
      <c r="C54" s="12"/>
      <c r="D54" s="22"/>
      <c r="E54" s="20"/>
      <c r="F54" s="20"/>
    </row>
    <row r="55" spans="2:7" s="107" customFormat="1" ht="15" customHeight="1" x14ac:dyDescent="0.4">
      <c r="B55" s="1">
        <v>3</v>
      </c>
      <c r="C55" s="260" t="s">
        <v>48</v>
      </c>
      <c r="D55" s="260"/>
      <c r="E55" s="4" t="s">
        <v>1</v>
      </c>
      <c r="F55" s="4" t="s">
        <v>13</v>
      </c>
    </row>
    <row r="56" spans="2:7" s="107" customFormat="1" x14ac:dyDescent="0.4">
      <c r="B56" s="1" t="s">
        <v>2</v>
      </c>
      <c r="C56" s="301" t="s">
        <v>49</v>
      </c>
      <c r="D56" s="301"/>
      <c r="E56" s="59">
        <f>PERC_AVISO_PREVIO_IND</f>
        <v>0.28999999999999998</v>
      </c>
      <c r="F56" s="58">
        <f>PERC_AVISO_PREVIO_IND%*(MOD_1_REMUNERACAO_12X36_NOT+SUBMOD_2_1_DEC_TERC_ADIC_FERIAS_12X36_NOT+AL_2_2_FGTS_12X36_NOT+SUBMOD_2_3_BENEFICIOS_12X36_NOT)</f>
        <v>9.2100000000000009</v>
      </c>
    </row>
    <row r="57" spans="2:7" s="107" customFormat="1" x14ac:dyDescent="0.4">
      <c r="B57" s="2" t="s">
        <v>3</v>
      </c>
      <c r="C57" s="303" t="s">
        <v>50</v>
      </c>
      <c r="D57" s="303"/>
      <c r="E57" s="46">
        <f>PERC_AVISO_PREVIO_TRAB</f>
        <v>1.1599999999999999</v>
      </c>
      <c r="F57" s="36">
        <f>PERC_AVISO_PREVIO_TRAB%*(MOD_1_REMUNERACAO_12X36_NOT+SUBMOD_2_1_DEC_TERC_ADIC_FERIAS_12X36_NOT+SUBMOD_2_2_GPS_FGTS_12X36_NOT+SUBMOD_2_3_BENEFICIOS_12X36_NOT)</f>
        <v>46.21</v>
      </c>
    </row>
    <row r="58" spans="2:7" s="98" customFormat="1" x14ac:dyDescent="0.25">
      <c r="B58" s="2" t="s">
        <v>4</v>
      </c>
      <c r="C58" s="301" t="s">
        <v>232</v>
      </c>
      <c r="D58" s="301"/>
      <c r="E58" s="59">
        <f>PERC_MULTA_FGTS_AV_PREV_TRAB</f>
        <v>0.04</v>
      </c>
      <c r="F58" s="58">
        <f>PERC_MULTA_FGTS_AV_PREV_TRAB%*(MOD_1_REMUNERACAO_12X36_NOT+SUBMOD_2_1_DEC_TERC_ADIC_FERIAS_12X36_NOT)</f>
        <v>1.02</v>
      </c>
    </row>
    <row r="59" spans="2:7" s="98" customFormat="1" x14ac:dyDescent="0.4">
      <c r="B59" s="268" t="s">
        <v>46</v>
      </c>
      <c r="C59" s="269"/>
      <c r="D59" s="269"/>
      <c r="E59" s="270"/>
      <c r="F59" s="41">
        <f>SUM(F56:F58)</f>
        <v>56.44</v>
      </c>
    </row>
    <row r="60" spans="2:7" ht="7.5" customHeight="1" x14ac:dyDescent="0.4">
      <c r="B60" s="16"/>
      <c r="C60" s="17"/>
      <c r="D60" s="18"/>
      <c r="E60" s="14"/>
      <c r="F60" s="14"/>
    </row>
    <row r="61" spans="2:7" s="98" customFormat="1" ht="15.9" customHeight="1" x14ac:dyDescent="0.4">
      <c r="B61" s="51" t="s">
        <v>73</v>
      </c>
      <c r="C61" s="12"/>
      <c r="D61" s="22"/>
      <c r="E61" s="13"/>
      <c r="F61" s="13"/>
    </row>
    <row r="62" spans="2:7" s="98" customFormat="1" ht="15.9" customHeight="1" x14ac:dyDescent="0.4">
      <c r="B62" s="51" t="s">
        <v>102</v>
      </c>
      <c r="C62" s="12"/>
      <c r="D62" s="22"/>
      <c r="E62" s="20"/>
      <c r="F62" s="20"/>
    </row>
    <row r="63" spans="2:7" s="98" customFormat="1" x14ac:dyDescent="0.25">
      <c r="B63" s="1" t="s">
        <v>18</v>
      </c>
      <c r="C63" s="302" t="s">
        <v>103</v>
      </c>
      <c r="D63" s="302"/>
      <c r="E63" s="4" t="s">
        <v>1</v>
      </c>
      <c r="F63" s="4" t="s">
        <v>13</v>
      </c>
    </row>
    <row r="64" spans="2:7" s="98" customFormat="1" ht="15.9" customHeight="1" x14ac:dyDescent="0.25">
      <c r="B64" s="2" t="s">
        <v>2</v>
      </c>
      <c r="C64" s="298" t="s">
        <v>104</v>
      </c>
      <c r="D64" s="298"/>
      <c r="E64" s="59">
        <f>PERC_SUBSTITUTO_FERIAS</f>
        <v>8.33</v>
      </c>
      <c r="F64" s="58">
        <f>PERC_SUBSTITUTO_FERIAS%*(MOD_1_REMUNERACAO_12X36_NOT+MOD_2_ENCARGOS_BENEFICIOS_12X36_NOT+MOD_3_PROVISAO_RESCISAO_12X36_NOT)</f>
        <v>336.57</v>
      </c>
    </row>
    <row r="65" spans="2:7" s="98" customFormat="1" ht="15.9" customHeight="1" x14ac:dyDescent="0.25">
      <c r="B65" s="2" t="s">
        <v>3</v>
      </c>
      <c r="C65" s="300" t="s">
        <v>105</v>
      </c>
      <c r="D65" s="300"/>
      <c r="E65" s="46">
        <f>PERC_SUBSTITUTO_AUSENCIAS_LEGAIS</f>
        <v>2.2200000000000002</v>
      </c>
      <c r="F65" s="36">
        <f>PERC_SUBSTITUTO_AUSENCIAS_LEGAIS%*(MOD_1_REMUNERACAO_12X36_NOT+MOD_2_ENCARGOS_BENEFICIOS_12X36_NOT+MOD_3_PROVISAO_RESCISAO_12X36_NOT)</f>
        <v>89.7</v>
      </c>
    </row>
    <row r="66" spans="2:7" s="98" customFormat="1" ht="15.9" customHeight="1" x14ac:dyDescent="0.25">
      <c r="B66" s="2" t="s">
        <v>4</v>
      </c>
      <c r="C66" s="298" t="s">
        <v>106</v>
      </c>
      <c r="D66" s="298"/>
      <c r="E66" s="59">
        <f>PERC_SUBSTITUTO_LICENCA_PATERNIDADE</f>
        <v>7.0000000000000007E-2</v>
      </c>
      <c r="F66" s="58">
        <f>PERC_SUBSTITUTO_LICENCA_PATERNIDADE%*(MOD_1_REMUNERACAO_12X36_NOT+MOD_2_ENCARGOS_BENEFICIOS_12X36_NOT+MOD_3_PROVISAO_RESCISAO_12X36_NOT)</f>
        <v>2.83</v>
      </c>
    </row>
    <row r="67" spans="2:7" s="98" customFormat="1" x14ac:dyDescent="0.25">
      <c r="B67" s="2" t="s">
        <v>5</v>
      </c>
      <c r="C67" s="300" t="s">
        <v>107</v>
      </c>
      <c r="D67" s="300"/>
      <c r="E67" s="46">
        <f>PERC_SUBSTITUTO_ACID_TRAB</f>
        <v>0.02</v>
      </c>
      <c r="F67" s="36">
        <f>PERC_SUBSTITUTO_ACID_TRAB%*(MOD_1_REMUNERACAO_12X36_NOT+MOD_2_ENCARGOS_BENEFICIOS_12X36_NOT+MOD_3_PROVISAO_RESCISAO_12X36_NOT)</f>
        <v>0.81</v>
      </c>
    </row>
    <row r="68" spans="2:7" s="98" customFormat="1" x14ac:dyDescent="0.25">
      <c r="B68" s="2" t="s">
        <v>6</v>
      </c>
      <c r="C68" s="298" t="s">
        <v>108</v>
      </c>
      <c r="D68" s="298"/>
      <c r="E68" s="59">
        <f>PERC_SUBSTITUTO_AFAST_MATERN</f>
        <v>0.04</v>
      </c>
      <c r="F68" s="58">
        <f>PERC_SUBSTITUTO_AFAST_MATERN%*(MOD_1_REMUNERACAO_12X36_NOT+MOD_2_ENCARGOS_BENEFICIOS_12X36_NOT+MOD_3_PROVISAO_RESCISAO_12X36_NOT)</f>
        <v>1.62</v>
      </c>
    </row>
    <row r="69" spans="2:7" s="98" customFormat="1" x14ac:dyDescent="0.25">
      <c r="B69" s="2" t="s">
        <v>7</v>
      </c>
      <c r="C69" s="325" t="str">
        <f>OUTRAS_AUSENCIAS_DESCRICAO</f>
        <v>Outras Ausências (Especificar - em %)</v>
      </c>
      <c r="D69" s="300"/>
      <c r="E69" s="53">
        <f>PERC_SUBSTITUTO_OUTRAS_AUSENCIAS</f>
        <v>0</v>
      </c>
      <c r="F69" s="36">
        <f>PERC_SUBSTITUTO_OUTRAS_AUSENCIAS%*(MOD_1_REMUNERACAO_12X36_NOT+MOD_2_ENCARGOS_BENEFICIOS_12X36_NOT+MOD_3_PROVISAO_RESCISAO_12X36_NOT)</f>
        <v>0</v>
      </c>
    </row>
    <row r="70" spans="2:7" s="98" customFormat="1" x14ac:dyDescent="0.4">
      <c r="B70" s="268" t="s">
        <v>46</v>
      </c>
      <c r="C70" s="269"/>
      <c r="D70" s="269"/>
      <c r="E70" s="270"/>
      <c r="F70" s="41">
        <f>SUM(F64:F69)</f>
        <v>431.53</v>
      </c>
    </row>
    <row r="71" spans="2:7" s="98" customFormat="1" ht="15" customHeight="1" x14ac:dyDescent="0.4">
      <c r="B71" s="51" t="s">
        <v>226</v>
      </c>
      <c r="C71" s="12"/>
      <c r="D71" s="22"/>
      <c r="E71" s="20"/>
      <c r="F71" s="20"/>
    </row>
    <row r="72" spans="2:7" s="98" customFormat="1" x14ac:dyDescent="0.25">
      <c r="B72" s="1" t="s">
        <v>19</v>
      </c>
      <c r="C72" s="260" t="s">
        <v>225</v>
      </c>
      <c r="D72" s="260"/>
      <c r="E72" s="260"/>
      <c r="F72" s="4" t="s">
        <v>13</v>
      </c>
    </row>
    <row r="73" spans="2:7" s="98" customFormat="1" ht="16.5" customHeight="1" x14ac:dyDescent="0.25">
      <c r="B73" s="1" t="s">
        <v>2</v>
      </c>
      <c r="C73" s="298" t="s">
        <v>109</v>
      </c>
      <c r="D73" s="298"/>
      <c r="E73" s="298"/>
      <c r="F73" s="57">
        <f>((MOD_1_REMUNERACAO_12X36_NOT+MOD_2_ENCARGOS_BENEFICIOS_12X36_NOT+MOD_3_PROVISAO_RESCISAO_12X36_NOT)/DIVISOR_DE_HORAS)*((TEMPO_INTERVALO_REFEICAO/HORA_NORMAL))*DIAS_TRABALHADOS_NO_MES_12X36</f>
        <v>275.49</v>
      </c>
      <c r="G73" s="141"/>
    </row>
    <row r="74" spans="2:7" s="98" customFormat="1" x14ac:dyDescent="0.4">
      <c r="B74" s="260" t="s">
        <v>46</v>
      </c>
      <c r="C74" s="260"/>
      <c r="D74" s="260"/>
      <c r="E74" s="260"/>
      <c r="F74" s="41">
        <f>SUM(F73:F73)</f>
        <v>275.49</v>
      </c>
    </row>
    <row r="75" spans="2:7" ht="7.5" customHeight="1" x14ac:dyDescent="0.4">
      <c r="B75" s="16"/>
      <c r="C75" s="17"/>
      <c r="D75" s="18"/>
      <c r="E75" s="14"/>
      <c r="F75" s="14"/>
    </row>
    <row r="76" spans="2:7" x14ac:dyDescent="0.4">
      <c r="B76" s="51" t="s">
        <v>77</v>
      </c>
      <c r="C76" s="12"/>
      <c r="D76" s="12"/>
      <c r="E76" s="20"/>
      <c r="F76" s="20"/>
    </row>
    <row r="77" spans="2:7" ht="15.75" customHeight="1" x14ac:dyDescent="0.4">
      <c r="B77" s="49">
        <v>5</v>
      </c>
      <c r="C77" s="271" t="s">
        <v>0</v>
      </c>
      <c r="D77" s="271"/>
      <c r="E77" s="271"/>
      <c r="F77" s="50" t="s">
        <v>13</v>
      </c>
    </row>
    <row r="78" spans="2:7" x14ac:dyDescent="0.4">
      <c r="B78" s="44" t="s">
        <v>2</v>
      </c>
      <c r="C78" s="272" t="s">
        <v>16</v>
      </c>
      <c r="D78" s="272"/>
      <c r="E78" s="272"/>
      <c r="F78" s="60">
        <f>UNIFORMES</f>
        <v>244.71</v>
      </c>
    </row>
    <row r="79" spans="2:7" x14ac:dyDescent="0.4">
      <c r="B79" s="44" t="s">
        <v>3</v>
      </c>
      <c r="C79" s="273" t="s">
        <v>285</v>
      </c>
      <c r="D79" s="273"/>
      <c r="E79" s="273"/>
      <c r="F79" s="47">
        <f>MATERIAIS</f>
        <v>77.400000000000006</v>
      </c>
    </row>
    <row r="80" spans="2:7" x14ac:dyDescent="0.4">
      <c r="B80" s="44" t="s">
        <v>4</v>
      </c>
      <c r="C80" s="272" t="s">
        <v>286</v>
      </c>
      <c r="D80" s="272"/>
      <c r="E80" s="272"/>
      <c r="F80" s="60">
        <f>EQUIPAMENTOS</f>
        <v>8.09</v>
      </c>
    </row>
    <row r="81" spans="2:6" x14ac:dyDescent="0.4">
      <c r="B81" s="44" t="s">
        <v>5</v>
      </c>
      <c r="C81" s="324" t="str">
        <f>OUTROS_INSUMOS_DESCRICAO</f>
        <v>Outros (Especificar)</v>
      </c>
      <c r="D81" s="273"/>
      <c r="E81" s="273"/>
      <c r="F81" s="47">
        <f>OUTROS_INSUMOS</f>
        <v>0</v>
      </c>
    </row>
    <row r="82" spans="2:6" x14ac:dyDescent="0.4">
      <c r="B82" s="328" t="s">
        <v>46</v>
      </c>
      <c r="C82" s="328"/>
      <c r="D82" s="328"/>
      <c r="E82" s="328"/>
      <c r="F82" s="43">
        <f>SUM(F78:F81)</f>
        <v>330.2</v>
      </c>
    </row>
    <row r="83" spans="2:6" ht="7.5" customHeight="1" x14ac:dyDescent="0.4">
      <c r="B83" s="16"/>
      <c r="C83" s="17"/>
      <c r="D83" s="18"/>
      <c r="E83" s="14"/>
      <c r="F83" s="14"/>
    </row>
    <row r="84" spans="2:6" ht="15" customHeight="1" x14ac:dyDescent="0.4">
      <c r="B84" s="264" t="s">
        <v>76</v>
      </c>
      <c r="C84" s="264"/>
      <c r="D84" s="264"/>
      <c r="E84" s="264"/>
      <c r="F84" s="264"/>
    </row>
    <row r="85" spans="2:6" x14ac:dyDescent="0.4">
      <c r="B85" s="1">
        <v>6</v>
      </c>
      <c r="C85" s="260" t="s">
        <v>20</v>
      </c>
      <c r="D85" s="260"/>
      <c r="E85" s="4" t="s">
        <v>1</v>
      </c>
      <c r="F85" s="4" t="s">
        <v>13</v>
      </c>
    </row>
    <row r="86" spans="2:6" x14ac:dyDescent="0.4">
      <c r="B86" s="1" t="s">
        <v>2</v>
      </c>
      <c r="C86" s="298" t="s">
        <v>78</v>
      </c>
      <c r="D86" s="298"/>
      <c r="E86" s="61">
        <f>PERC_CUSTOS_INDIRETOS</f>
        <v>4.8499999999999996</v>
      </c>
      <c r="F86" s="58">
        <f>PERC_CUSTOS_INDIRETOS%*(MOD_1_REMUNERACAO_12X36_NOT+MOD_2_ENCARGOS_BENEFICIOS_12X36_NOT+MOD_3_PROVISAO_RESCISAO_12X36_NOT+MOD_4_CUSTO_REPOSICAO_12X36_NOT+MOD_5_INSUMOS_12X36_NOT)</f>
        <v>246.27</v>
      </c>
    </row>
    <row r="87" spans="2:6" ht="15.75" customHeight="1" x14ac:dyDescent="0.4">
      <c r="B87" s="2" t="s">
        <v>3</v>
      </c>
      <c r="C87" s="300" t="s">
        <v>32</v>
      </c>
      <c r="D87" s="300"/>
      <c r="E87" s="48">
        <f>PERC_LUCRO</f>
        <v>5.45</v>
      </c>
      <c r="F87" s="36">
        <f>PERC_LUCRO%*(MOD_1_REMUNERACAO_12X36_NOT+MOD_2_ENCARGOS_BENEFICIOS_12X36_NOT+MOD_3_PROVISAO_RESCISAO_12X36_NOT+MOD_4_CUSTO_REPOSICAO_12X36_NOT+MOD_5_INSUMOS_12X36_NOT+AL_6_A_CUSTOS_INDIRETOS_12X36_NOT)</f>
        <v>290.16000000000003</v>
      </c>
    </row>
    <row r="88" spans="2:6" x14ac:dyDescent="0.4">
      <c r="B88" s="2" t="s">
        <v>4</v>
      </c>
      <c r="C88" s="298" t="s">
        <v>21</v>
      </c>
      <c r="D88" s="298"/>
      <c r="E88" s="61">
        <f>SUM(E89:E91)</f>
        <v>8.65</v>
      </c>
      <c r="F88" s="58">
        <f>SUM(F89:F91)</f>
        <v>531.61</v>
      </c>
    </row>
    <row r="89" spans="2:6" ht="15.75" customHeight="1" x14ac:dyDescent="0.4">
      <c r="B89" s="30" t="s">
        <v>79</v>
      </c>
      <c r="C89" s="326" t="s">
        <v>23</v>
      </c>
      <c r="D89" s="326"/>
      <c r="E89" s="31">
        <f>PERC_PIS</f>
        <v>0.65</v>
      </c>
      <c r="F89" s="63">
        <f>((MOD_1_REMUNERACAO_12X36_NOT+MOD_2_ENCARGOS_BENEFICIOS_12X36_NOT+MOD_3_PROVISAO_RESCISAO_12X36_NOT+MOD_4_CUSTO_REPOSICAO_12X36_NOT+MOD_5_INSUMOS_12X36_NOT+AL_6_A_CUSTOS_INDIRETOS_12X36_NOT+AL_6_B_LUCRO_12X36_NOT)*PERC_PIS%)/(1-PERC_TRIBUTOS%)</f>
        <v>39.950000000000003</v>
      </c>
    </row>
    <row r="90" spans="2:6" x14ac:dyDescent="0.4">
      <c r="B90" s="30" t="s">
        <v>80</v>
      </c>
      <c r="C90" s="327" t="s">
        <v>24</v>
      </c>
      <c r="D90" s="327"/>
      <c r="E90" s="62">
        <f>PERC_COFINS</f>
        <v>3</v>
      </c>
      <c r="F90" s="64">
        <f>((MOD_1_REMUNERACAO_12X36_NOT+MOD_2_ENCARGOS_BENEFICIOS_12X36_NOT+MOD_3_PROVISAO_RESCISAO_12X36_NOT+MOD_4_CUSTO_REPOSICAO_12X36_NOT+MOD_5_INSUMOS_12X36_NOT+AL_6_A_CUSTOS_INDIRETOS_12X36_NOT+AL_6_B_LUCRO_12X36_NOT)*PERC_COFINS%)/(1-PERC_TRIBUTOS%)</f>
        <v>184.37</v>
      </c>
    </row>
    <row r="91" spans="2:6" s="108" customFormat="1" x14ac:dyDescent="0.4">
      <c r="B91" s="30" t="s">
        <v>81</v>
      </c>
      <c r="C91" s="326" t="s">
        <v>25</v>
      </c>
      <c r="D91" s="326"/>
      <c r="E91" s="31">
        <f>PERC_ISS</f>
        <v>5</v>
      </c>
      <c r="F91" s="63">
        <f>((MOD_1_REMUNERACAO_12X36_NOT+MOD_2_ENCARGOS_BENEFICIOS_12X36_NOT+MOD_3_PROVISAO_RESCISAO_12X36_NOT+MOD_4_CUSTO_REPOSICAO_12X36_NOT+MOD_5_INSUMOS_12X36_NOT+AL_6_A_CUSTOS_INDIRETOS_12X36_NOT+AL_6_B_LUCRO_12X36_NOT)*PERC_ISS%)/(1-PERC_TRIBUTOS%)</f>
        <v>307.29000000000002</v>
      </c>
    </row>
    <row r="92" spans="2:6" s="108" customFormat="1" x14ac:dyDescent="0.4">
      <c r="B92" s="268" t="s">
        <v>46</v>
      </c>
      <c r="C92" s="269"/>
      <c r="D92" s="269"/>
      <c r="E92" s="270"/>
      <c r="F92" s="37">
        <f>AL_6_A_CUSTOS_INDIRETOS_12X36_NOT+AL_6_B_LUCRO_12X36_NOT+AL_6_C_TRIBUTOS_12X36_NOT</f>
        <v>1068.04</v>
      </c>
    </row>
    <row r="93" spans="2:6" s="108" customFormat="1" x14ac:dyDescent="0.4">
      <c r="B93" s="264" t="s">
        <v>261</v>
      </c>
      <c r="C93" s="264"/>
      <c r="D93" s="264"/>
      <c r="E93" s="264"/>
      <c r="F93" s="264"/>
    </row>
    <row r="94" spans="2:6" s="108" customFormat="1" x14ac:dyDescent="0.4">
      <c r="B94" s="147" t="s">
        <v>2</v>
      </c>
      <c r="C94" s="275" t="str">
        <f>'INSERÇÃO-DE-DADOS'!C86:E86</f>
        <v>Dia do Vigilante - Clausula 82ª CCT - Jornada 12x36 noturno</v>
      </c>
      <c r="D94" s="276"/>
      <c r="E94" s="277"/>
      <c r="F94" s="57">
        <f>'INSERÇÃO-DE-DADOS'!F86</f>
        <v>11.69</v>
      </c>
    </row>
    <row r="95" spans="2:6" s="108" customFormat="1" ht="20.399999999999999" x14ac:dyDescent="0.4">
      <c r="B95" s="52" t="s">
        <v>53</v>
      </c>
      <c r="C95" s="15"/>
      <c r="D95" s="15"/>
      <c r="E95" s="15"/>
      <c r="F95" s="23"/>
    </row>
    <row r="96" spans="2:6" s="109" customFormat="1" ht="16.5" customHeight="1" x14ac:dyDescent="0.4">
      <c r="B96" s="2" t="s">
        <v>98</v>
      </c>
      <c r="C96" s="257" t="s">
        <v>99</v>
      </c>
      <c r="D96" s="258"/>
      <c r="E96" s="259"/>
      <c r="F96" s="4" t="s">
        <v>17</v>
      </c>
    </row>
    <row r="97" spans="2:6" s="108" customFormat="1" x14ac:dyDescent="0.4">
      <c r="B97" s="1">
        <v>1</v>
      </c>
      <c r="C97" s="298" t="s">
        <v>9</v>
      </c>
      <c r="D97" s="298"/>
      <c r="E97" s="298"/>
      <c r="F97" s="58">
        <f>MOD_1_REMUNERACAO_12X36_NOT</f>
        <v>2291.19</v>
      </c>
    </row>
    <row r="98" spans="2:6" s="110" customFormat="1" ht="16.5" customHeight="1" x14ac:dyDescent="0.4">
      <c r="B98" s="2">
        <v>2</v>
      </c>
      <c r="C98" s="300" t="s">
        <v>100</v>
      </c>
      <c r="D98" s="300"/>
      <c r="E98" s="300"/>
      <c r="F98" s="36">
        <f>MOD_2_ENCARGOS_BENEFICIOS_12X36_NOT</f>
        <v>1692.84</v>
      </c>
    </row>
    <row r="99" spans="2:6" s="110" customFormat="1" x14ac:dyDescent="0.4">
      <c r="B99" s="2">
        <v>3</v>
      </c>
      <c r="C99" s="298" t="s">
        <v>48</v>
      </c>
      <c r="D99" s="298"/>
      <c r="E99" s="298"/>
      <c r="F99" s="58">
        <f>MOD_3_PROVISAO_RESCISAO_12X36_NOT</f>
        <v>56.44</v>
      </c>
    </row>
    <row r="100" spans="2:6" s="110" customFormat="1" x14ac:dyDescent="0.4">
      <c r="B100" s="2">
        <v>4</v>
      </c>
      <c r="C100" s="300" t="s">
        <v>51</v>
      </c>
      <c r="D100" s="300"/>
      <c r="E100" s="300"/>
      <c r="F100" s="36">
        <f>MOD_4_CUSTO_REPOSICAO_12X36_NOT</f>
        <v>707.02</v>
      </c>
    </row>
    <row r="101" spans="2:6" s="110" customFormat="1" x14ac:dyDescent="0.4">
      <c r="B101" s="2">
        <v>5</v>
      </c>
      <c r="C101" s="298" t="s">
        <v>0</v>
      </c>
      <c r="D101" s="298"/>
      <c r="E101" s="298"/>
      <c r="F101" s="58">
        <f>MOD_5_INSUMOS_12X36_NOT</f>
        <v>330.2</v>
      </c>
    </row>
    <row r="102" spans="2:6" s="110" customFormat="1" x14ac:dyDescent="0.4">
      <c r="B102" s="2">
        <v>6</v>
      </c>
      <c r="C102" s="300" t="s">
        <v>20</v>
      </c>
      <c r="D102" s="300"/>
      <c r="E102" s="300"/>
      <c r="F102" s="36">
        <f>MOD_6_CUSTOS_IND_LUCRO_TRIB_12X36_NOT</f>
        <v>1068.04</v>
      </c>
    </row>
    <row r="103" spans="2:6" s="110" customFormat="1" x14ac:dyDescent="0.4">
      <c r="B103" s="148">
        <v>7</v>
      </c>
      <c r="C103" s="275" t="str">
        <f>C94</f>
        <v>Dia do Vigilante - Clausula 82ª CCT - Jornada 12x36 noturno</v>
      </c>
      <c r="D103" s="276"/>
      <c r="E103" s="277"/>
      <c r="F103" s="57">
        <f>F94</f>
        <v>11.69</v>
      </c>
    </row>
    <row r="104" spans="2:6" ht="16.5" customHeight="1" x14ac:dyDescent="0.4">
      <c r="B104" s="302" t="s">
        <v>101</v>
      </c>
      <c r="C104" s="302"/>
      <c r="D104" s="302"/>
      <c r="E104" s="302"/>
      <c r="F104" s="37">
        <f>SUM(F97:F103)</f>
        <v>6157.42</v>
      </c>
    </row>
    <row r="105" spans="2:6" ht="16.5" customHeight="1" x14ac:dyDescent="0.4">
      <c r="B105" s="302" t="s">
        <v>30</v>
      </c>
      <c r="C105" s="302"/>
      <c r="D105" s="302"/>
      <c r="E105" s="302"/>
      <c r="F105" s="37">
        <f>VALOR_TOTAL_EMPREGADO_12x36_NOT*EMPREG_POR_POSTO_12X36_NOT</f>
        <v>12314.84</v>
      </c>
    </row>
  </sheetData>
  <mergeCells count="94">
    <mergeCell ref="B1:F1"/>
    <mergeCell ref="B2:D2"/>
    <mergeCell ref="B3:F3"/>
    <mergeCell ref="B4:F4"/>
    <mergeCell ref="B5:C5"/>
    <mergeCell ref="D5:F5"/>
    <mergeCell ref="D16:F16"/>
    <mergeCell ref="B6:C6"/>
    <mergeCell ref="D6:E6"/>
    <mergeCell ref="B7:F7"/>
    <mergeCell ref="C8:E8"/>
    <mergeCell ref="D9:F9"/>
    <mergeCell ref="C10:E10"/>
    <mergeCell ref="C11:E11"/>
    <mergeCell ref="C12:E12"/>
    <mergeCell ref="C14:D14"/>
    <mergeCell ref="E14:F14"/>
    <mergeCell ref="D15:F15"/>
    <mergeCell ref="C31:D31"/>
    <mergeCell ref="C17:E17"/>
    <mergeCell ref="B18:F18"/>
    <mergeCell ref="B19:E19"/>
    <mergeCell ref="C21:E21"/>
    <mergeCell ref="C22:E22"/>
    <mergeCell ref="C23:E23"/>
    <mergeCell ref="C24:E24"/>
    <mergeCell ref="C25:E25"/>
    <mergeCell ref="C26:E26"/>
    <mergeCell ref="C27:E27"/>
    <mergeCell ref="B28:E28"/>
    <mergeCell ref="C43:D43"/>
    <mergeCell ref="C32:D32"/>
    <mergeCell ref="C33:D33"/>
    <mergeCell ref="B34:E34"/>
    <mergeCell ref="B35:F35"/>
    <mergeCell ref="C36:D36"/>
    <mergeCell ref="C37:D37"/>
    <mergeCell ref="C38:D38"/>
    <mergeCell ref="C39:D39"/>
    <mergeCell ref="C40:D40"/>
    <mergeCell ref="C41:D41"/>
    <mergeCell ref="C42:D42"/>
    <mergeCell ref="C57:D57"/>
    <mergeCell ref="C44:D44"/>
    <mergeCell ref="B45:E45"/>
    <mergeCell ref="C47:E47"/>
    <mergeCell ref="C48:E48"/>
    <mergeCell ref="C49:E49"/>
    <mergeCell ref="C50:E50"/>
    <mergeCell ref="C51:E51"/>
    <mergeCell ref="C52:E52"/>
    <mergeCell ref="B53:E53"/>
    <mergeCell ref="C55:D55"/>
    <mergeCell ref="C56:D56"/>
    <mergeCell ref="C73:E73"/>
    <mergeCell ref="C58:D58"/>
    <mergeCell ref="B59:E59"/>
    <mergeCell ref="C63:D63"/>
    <mergeCell ref="C64:D64"/>
    <mergeCell ref="C65:D65"/>
    <mergeCell ref="C66:D66"/>
    <mergeCell ref="C67:D67"/>
    <mergeCell ref="C68:D68"/>
    <mergeCell ref="C69:D69"/>
    <mergeCell ref="B70:E70"/>
    <mergeCell ref="C72:E72"/>
    <mergeCell ref="C87:D87"/>
    <mergeCell ref="B74:E74"/>
    <mergeCell ref="C77:E77"/>
    <mergeCell ref="C78:E78"/>
    <mergeCell ref="C79:E79"/>
    <mergeCell ref="C80:E80"/>
    <mergeCell ref="C81:E81"/>
    <mergeCell ref="B82:E82"/>
    <mergeCell ref="B84:F84"/>
    <mergeCell ref="C85:D85"/>
    <mergeCell ref="C86:D86"/>
    <mergeCell ref="C100:E100"/>
    <mergeCell ref="C88:D88"/>
    <mergeCell ref="C89:D89"/>
    <mergeCell ref="C90:D90"/>
    <mergeCell ref="C91:D91"/>
    <mergeCell ref="B92:E92"/>
    <mergeCell ref="B93:F93"/>
    <mergeCell ref="C94:E94"/>
    <mergeCell ref="C96:E96"/>
    <mergeCell ref="C97:E97"/>
    <mergeCell ref="C98:E98"/>
    <mergeCell ref="C99:E99"/>
    <mergeCell ref="C101:E101"/>
    <mergeCell ref="C102:E102"/>
    <mergeCell ref="C103:E103"/>
    <mergeCell ref="B104:E104"/>
    <mergeCell ref="B105:E105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3"/>
  <sheetViews>
    <sheetView tabSelected="1" topLeftCell="A13" zoomScale="85" zoomScaleNormal="85" zoomScaleSheetLayoutView="100" workbookViewId="0">
      <selection activeCell="D18" sqref="D18"/>
    </sheetView>
  </sheetViews>
  <sheetFormatPr defaultColWidth="9.109375" defaultRowHeight="15" x14ac:dyDescent="0.35"/>
  <cols>
    <col min="1" max="1" width="1.6640625" style="115" customWidth="1"/>
    <col min="2" max="2" width="7.6640625" style="115" customWidth="1"/>
    <col min="3" max="3" width="36.88671875" style="115" customWidth="1"/>
    <col min="4" max="4" width="18.44140625" style="115" customWidth="1"/>
    <col min="5" max="5" width="10.5546875" style="115" customWidth="1"/>
    <col min="6" max="6" width="11.109375" style="115" customWidth="1"/>
    <col min="7" max="7" width="15" style="115" customWidth="1"/>
    <col min="8" max="8" width="10.5546875" style="115" bestFit="1" customWidth="1"/>
    <col min="9" max="9" width="14.44140625" style="115" bestFit="1" customWidth="1"/>
    <col min="10" max="10" width="18.88671875" style="115" customWidth="1"/>
    <col min="11" max="16384" width="9.109375" style="115"/>
  </cols>
  <sheetData>
    <row r="1" spans="2:9" s="13" customFormat="1" ht="20.399999999999999" x14ac:dyDescent="0.45">
      <c r="B1" s="313" t="str">
        <f>RAMO</f>
        <v>RAMO: MINISTÉRIO PÚBLIC FEDERAL</v>
      </c>
      <c r="C1" s="314"/>
      <c r="D1" s="314"/>
      <c r="E1" s="314"/>
      <c r="F1" s="315"/>
    </row>
    <row r="2" spans="2:9" s="13" customFormat="1" ht="20.399999999999999" x14ac:dyDescent="0.45">
      <c r="B2" s="316" t="str">
        <f>UG</f>
        <v>UNIDADE GESTORA (SIGLA): PR-PA</v>
      </c>
      <c r="C2" s="317"/>
      <c r="D2" s="318"/>
      <c r="E2" s="113" t="s">
        <v>57</v>
      </c>
      <c r="F2" s="114" t="str">
        <f>DATA_APRESENTACAO_PROPOSTA</f>
        <v>XX/XX/20XX</v>
      </c>
    </row>
    <row r="3" spans="2:9" s="13" customFormat="1" ht="16.8" x14ac:dyDescent="0.4">
      <c r="B3" s="98"/>
      <c r="C3" s="98"/>
      <c r="D3" s="98"/>
      <c r="E3" s="98"/>
      <c r="F3" s="98"/>
    </row>
    <row r="4" spans="2:9" s="13" customFormat="1" ht="20.399999999999999" x14ac:dyDescent="0.4">
      <c r="B4" s="377" t="s">
        <v>22</v>
      </c>
      <c r="C4" s="377"/>
      <c r="D4" s="377"/>
      <c r="E4" s="377"/>
      <c r="F4" s="377"/>
      <c r="G4" s="377"/>
    </row>
    <row r="5" spans="2:9" s="13" customFormat="1" ht="50.4" x14ac:dyDescent="0.4">
      <c r="B5" s="210" t="s">
        <v>29</v>
      </c>
      <c r="C5" s="211" t="s">
        <v>28</v>
      </c>
      <c r="D5" s="209" t="s">
        <v>186</v>
      </c>
      <c r="E5" s="209" t="s">
        <v>148</v>
      </c>
      <c r="F5" s="209" t="s">
        <v>31</v>
      </c>
      <c r="G5" s="212" t="s">
        <v>149</v>
      </c>
    </row>
    <row r="6" spans="2:9" s="13" customFormat="1" ht="33.6" x14ac:dyDescent="0.4">
      <c r="B6" s="216" t="s">
        <v>12</v>
      </c>
      <c r="C6" s="198" t="str">
        <f>POSTO_12X36_DIU</f>
        <v>Vigilância 12x36 horas - diurno - BEL</v>
      </c>
      <c r="D6" s="199" t="str">
        <f>IF(LOCAL_DE_EXECUCAO="","",LOCAL_DE_EXECUCAO)</f>
        <v>SEDE PR-PA / JF - Belém</v>
      </c>
      <c r="E6" s="199">
        <f>'POSTO 12x36 HORAS - DIURNO BEL'!F12</f>
        <v>8</v>
      </c>
      <c r="F6" s="200">
        <f>IF(VALOR_TOTAL_POSTO_12x36_DIU=0,"",VALOR_TOTAL_POSTO_12x36_DIU)</f>
        <v>10280.879999999999</v>
      </c>
      <c r="G6" s="201">
        <f>IF(QTDE_DE_POSTOS_12X36_DIU=0,"",E6*F6)</f>
        <v>82247.039999999994</v>
      </c>
      <c r="I6" s="221"/>
    </row>
    <row r="7" spans="2:9" s="13" customFormat="1" ht="33.6" x14ac:dyDescent="0.4">
      <c r="B7" s="217" t="s">
        <v>26</v>
      </c>
      <c r="C7" s="75" t="str">
        <f>POSTO_12X36_NOT</f>
        <v>Vigilância 12x36 horas - noturno - BEL</v>
      </c>
      <c r="D7" s="8" t="str">
        <f>IF(LOCAL_DE_EXECUCAO="","",LOCAL_DE_EXECUCAO)</f>
        <v>SEDE PR-PA / JF - Belém</v>
      </c>
      <c r="E7" s="8">
        <f>'POSTO 12x36 HORAS - NOTURNO BEL'!F12</f>
        <v>7</v>
      </c>
      <c r="F7" s="9">
        <f>IF(VALOR_TOTAL_POSTO_12x36_NOT=0,"",VALOR_TOTAL_POSTO_12x36_NOT)</f>
        <v>12392.68</v>
      </c>
      <c r="G7" s="203">
        <f>IF(QTDE_DE_POSTOS_12X36_NOT=0,"",E7*F7)</f>
        <v>86748.76</v>
      </c>
      <c r="I7" s="221"/>
    </row>
    <row r="8" spans="2:9" s="13" customFormat="1" ht="33.6" x14ac:dyDescent="0.4">
      <c r="B8" s="218" t="s">
        <v>27</v>
      </c>
      <c r="C8" s="186" t="str">
        <f>POSTO_44H</f>
        <v>Vigilância 44 horas semanais - BEL</v>
      </c>
      <c r="D8" s="187" t="str">
        <f>IF(LOCAL_DE_EXECUCAO="","",LOCAL_DE_EXECUCAO)</f>
        <v>SEDE PR-PA / JF - Belém</v>
      </c>
      <c r="E8" s="187">
        <f>'POSTO 44 HORAS BEL'!F12</f>
        <v>5</v>
      </c>
      <c r="F8" s="188">
        <f>IF(VALOR_TOTAL_POSTO_44H=0,"",VALOR_TOTAL_POSTO_44H)</f>
        <v>5551.86</v>
      </c>
      <c r="G8" s="204">
        <f t="shared" ref="G8:G26" si="0">IF(QTDE_DE_POSTOS_44H=0,"",E8*F8)</f>
        <v>27759.3</v>
      </c>
      <c r="I8" s="221"/>
    </row>
    <row r="9" spans="2:9" s="13" customFormat="1" ht="33.6" x14ac:dyDescent="0.4">
      <c r="B9" s="181" t="s">
        <v>244</v>
      </c>
      <c r="C9" s="182" t="str">
        <f>'INSERÇÃO-DE-DADOS'!C21</f>
        <v>Vigilância 12x36 horas - diurno - STM</v>
      </c>
      <c r="D9" s="183" t="str">
        <f>'POSTO 12x36 HORAS - DIURNO (STM'!D9:F9</f>
        <v>PRM / JF -SANTARÉM</v>
      </c>
      <c r="E9" s="183">
        <f>'POSTO 12x36 HORAS - DIURNO (STM'!F12</f>
        <v>2</v>
      </c>
      <c r="F9" s="184">
        <f>'POSTO 12x36 HORAS - DIURNO (STM'!VALOR_TOTAL_POSTO_12x36_DIU</f>
        <v>10228.959999999999</v>
      </c>
      <c r="G9" s="214">
        <f t="shared" si="0"/>
        <v>20457.919999999998</v>
      </c>
      <c r="I9" s="221"/>
    </row>
    <row r="10" spans="2:9" s="13" customFormat="1" ht="33.6" x14ac:dyDescent="0.4">
      <c r="B10" s="202" t="s">
        <v>245</v>
      </c>
      <c r="C10" s="74" t="str">
        <f>'INSERÇÃO-DE-DADOS'!C22</f>
        <v>Vigilância 12x36 horas - noturno - STM</v>
      </c>
      <c r="D10" s="5" t="str">
        <f>'POSTO 12x36 HORAS - NOTURNO STM'!D9:F9</f>
        <v>PRM / JF -SANTARÉM</v>
      </c>
      <c r="E10" s="5">
        <f>'POSTO 12x36 HORAS - NOTURNO STM'!F12</f>
        <v>2</v>
      </c>
      <c r="F10" s="6">
        <f>'POSTO 12x36 HORAS - NOTURNO STM'!VALOR_TOTAL_POSTO_12x36_NOT</f>
        <v>12340.74</v>
      </c>
      <c r="G10" s="215">
        <f t="shared" si="0"/>
        <v>24681.48</v>
      </c>
      <c r="I10" s="221"/>
    </row>
    <row r="11" spans="2:9" s="13" customFormat="1" ht="33.6" x14ac:dyDescent="0.4">
      <c r="B11" s="185" t="s">
        <v>246</v>
      </c>
      <c r="C11" s="205" t="str">
        <f>'INSERÇÃO-DE-DADOS'!C23</f>
        <v>Vigilância 44 horas semanais - STM</v>
      </c>
      <c r="D11" s="206" t="str">
        <f>'POSTO 44 HORAS (STM)'!D9:F9</f>
        <v>PRM / JF -SANTARÉM</v>
      </c>
      <c r="E11" s="206">
        <f>'POSTO 44 HORAS (STM)'!F12</f>
        <v>2</v>
      </c>
      <c r="F11" s="207">
        <f>'POSTO 44 HORAS (STM)'!VALOR_TOTAL_POSTO_44H</f>
        <v>5512.75</v>
      </c>
      <c r="G11" s="208">
        <f t="shared" si="0"/>
        <v>11025.5</v>
      </c>
      <c r="I11" s="221"/>
    </row>
    <row r="12" spans="2:9" s="13" customFormat="1" ht="16.8" x14ac:dyDescent="0.4">
      <c r="B12" s="181" t="s">
        <v>247</v>
      </c>
      <c r="C12" s="198" t="str">
        <f>'INSERÇÃO-DE-DADOS'!C25</f>
        <v>Vigilância 12x36 horas - diurno - TUU</v>
      </c>
      <c r="D12" s="199" t="str">
        <f>'POSTO 12x36 HORAS - DIURNO TUU'!D9:F9</f>
        <v>PRM / JF - Tucuruí</v>
      </c>
      <c r="E12" s="199">
        <f>'POSTO 12x36 HORAS - DIURNO TUU'!F12</f>
        <v>2</v>
      </c>
      <c r="F12" s="200">
        <f>'POSTO 12x36 HORAS - DIURNO TUU'!VALOR_TOTAL_POSTO_12x36_DIU</f>
        <v>10315.52</v>
      </c>
      <c r="G12" s="201">
        <f t="shared" si="0"/>
        <v>20631.04</v>
      </c>
      <c r="I12" s="221"/>
    </row>
    <row r="13" spans="2:9" s="13" customFormat="1" ht="16.8" x14ac:dyDescent="0.4">
      <c r="B13" s="185" t="s">
        <v>248</v>
      </c>
      <c r="C13" s="205" t="str">
        <f>'INSERÇÃO-DE-DADOS'!C24</f>
        <v>Vigilância 12x36 horas - noturno - TUU</v>
      </c>
      <c r="D13" s="206" t="str">
        <f>'POSTO 12x36 HORAS - NOTURNO TUU'!D9:F9</f>
        <v>PRM / JF - Tucuruí</v>
      </c>
      <c r="E13" s="206">
        <f>'POSTO 12x36 HORAS - NOTURNO TUU'!F12</f>
        <v>2</v>
      </c>
      <c r="F13" s="207">
        <f>'POSTO 12x36 HORAS - NOTURNO TUU'!VALOR_TOTAL_POSTO_12x36_NOT</f>
        <v>12427.34</v>
      </c>
      <c r="G13" s="208">
        <f t="shared" si="0"/>
        <v>24854.68</v>
      </c>
      <c r="I13" s="221"/>
    </row>
    <row r="14" spans="2:9" s="13" customFormat="1" ht="16.5" customHeight="1" x14ac:dyDescent="0.4">
      <c r="B14" s="181" t="s">
        <v>274</v>
      </c>
      <c r="C14" s="198" t="str">
        <f>'INSERÇÃO-DE-DADOS'!C27</f>
        <v>Vigilância 12x36 horas - diurno - RDO</v>
      </c>
      <c r="D14" s="199" t="str">
        <f>'POSTO 12x36 HORAS - DIURNO RDO'!D9:F9</f>
        <v>PRM / JF -Redenção</v>
      </c>
      <c r="E14" s="199">
        <f>'POSTO 12x36 HORAS - DIURNO RDO'!F12</f>
        <v>2</v>
      </c>
      <c r="F14" s="200">
        <f>'POSTO 12x36 HORAS - DIURNO RDO'!VALOR_TOTAL_POSTO_12x36_DIU</f>
        <v>10280.879999999999</v>
      </c>
      <c r="G14" s="201">
        <f t="shared" si="0"/>
        <v>20561.759999999998</v>
      </c>
      <c r="I14" s="221"/>
    </row>
    <row r="15" spans="2:9" s="13" customFormat="1" ht="18.75" customHeight="1" x14ac:dyDescent="0.4">
      <c r="B15" s="185" t="s">
        <v>249</v>
      </c>
      <c r="C15" s="205" t="str">
        <f>'INSERÇÃO-DE-DADOS'!C26</f>
        <v>Vigilância 12x36 horas - noturno - RDO</v>
      </c>
      <c r="D15" s="206" t="str">
        <f>'POSTO 12x36 HORAS - NOTURNO RDO'!D9:F9</f>
        <v>PRM / JF -Redenção</v>
      </c>
      <c r="E15" s="206">
        <f>'POSTO 12x36 HORAS - NOTURNO RDO'!F12</f>
        <v>2</v>
      </c>
      <c r="F15" s="207">
        <f>'POSTO 12x36 HORAS - NOTURNO RDO'!VALOR_TOTAL_POSTO_12x36_NOT</f>
        <v>12392.68</v>
      </c>
      <c r="G15" s="208">
        <f t="shared" si="0"/>
        <v>24785.360000000001</v>
      </c>
      <c r="I15" s="221"/>
    </row>
    <row r="16" spans="2:9" s="13" customFormat="1" ht="33.6" x14ac:dyDescent="0.4">
      <c r="B16" s="190" t="s">
        <v>250</v>
      </c>
      <c r="C16" s="195" t="str">
        <f>'INSERÇÃO-DE-DADOS'!C29</f>
        <v xml:space="preserve">Vigilância 12x36 horas - diurno - PGN </v>
      </c>
      <c r="D16" s="196" t="str">
        <f>'POSTO 12x36 HORAS - DIURNO PGN'!D9:F9</f>
        <v>PRM / JF -PARAGOMINAS</v>
      </c>
      <c r="E16" s="196">
        <f>'POSTO 12x36 HORAS - DIURNO PGN'!F12</f>
        <v>2</v>
      </c>
      <c r="F16" s="197">
        <f>'POSTO 12x36 HORAS - DIURNO PGN'!VALOR_TOTAL_POSTO_12x36_DIU</f>
        <v>10272.26</v>
      </c>
      <c r="G16" s="213">
        <f t="shared" si="0"/>
        <v>20544.52</v>
      </c>
      <c r="I16" s="221"/>
    </row>
    <row r="17" spans="2:10" s="13" customFormat="1" ht="33.6" x14ac:dyDescent="0.4">
      <c r="B17" s="185" t="s">
        <v>251</v>
      </c>
      <c r="C17" s="205" t="str">
        <f>'INSERÇÃO-DE-DADOS'!C28</f>
        <v>Vigilância 12x36 horas - noturno - PGN</v>
      </c>
      <c r="D17" s="206" t="str">
        <f>'POSTO 12x36 HORAS - NOTURNO PGN'!D9:F9</f>
        <v>PRM / JF -PARAGOMINAS</v>
      </c>
      <c r="E17" s="206">
        <f>'POSTO 12x36 HORAS - NOTURNO PGN'!F12</f>
        <v>2</v>
      </c>
      <c r="F17" s="207">
        <f>'POSTO 12x36 HORAS - NOTURNO PGN'!VALOR_TOTAL_POSTO_12x36_NOT</f>
        <v>12384.08</v>
      </c>
      <c r="G17" s="208">
        <f t="shared" si="0"/>
        <v>24768.16</v>
      </c>
      <c r="I17" s="221"/>
    </row>
    <row r="18" spans="2:10" s="13" customFormat="1" ht="16.8" x14ac:dyDescent="0.4">
      <c r="B18" s="181" t="s">
        <v>252</v>
      </c>
      <c r="C18" s="198" t="str">
        <f>'INSERÇÃO-DE-DADOS'!C31</f>
        <v>Vigilância 12x36 horas - diurno - MAB</v>
      </c>
      <c r="D18" s="199" t="str">
        <f>'POSTO 12x36 HORAS - DIURNO MAB'!D9:F9</f>
        <v>PRM / JF -Marabá</v>
      </c>
      <c r="E18" s="199">
        <f>'POSTO 12x36 HORAS - DIURNO MAB'!F12</f>
        <v>2</v>
      </c>
      <c r="F18" s="200">
        <f>'POSTO 12x36 HORAS - DIURNO MAB'!VALOR_TOTAL_POSTO_12x36_DIU</f>
        <v>10280.879999999999</v>
      </c>
      <c r="G18" s="201">
        <f t="shared" si="0"/>
        <v>20561.759999999998</v>
      </c>
      <c r="I18" s="221"/>
    </row>
    <row r="19" spans="2:10" s="13" customFormat="1" ht="16.8" x14ac:dyDescent="0.4">
      <c r="B19" s="185" t="s">
        <v>253</v>
      </c>
      <c r="C19" s="205" t="str">
        <f>'INSERÇÃO-DE-DADOS'!C30</f>
        <v>Vigilância 12x36 horas - noturno - MAB</v>
      </c>
      <c r="D19" s="206" t="str">
        <f>'POSTO 12x36 HORAS - NOTURNO MAB'!D9:F9</f>
        <v>PRM / JF -Marabá</v>
      </c>
      <c r="E19" s="206">
        <f>'POSTO 12x36 HORAS - NOTURNO MAB'!F12</f>
        <v>2</v>
      </c>
      <c r="F19" s="207">
        <f>'POSTO 12x36 HORAS - NOTURNO MAB'!VALOR_TOTAL_POSTO_12x36_NOT</f>
        <v>12392.68</v>
      </c>
      <c r="G19" s="208">
        <f t="shared" si="0"/>
        <v>24785.360000000001</v>
      </c>
      <c r="I19" s="221"/>
    </row>
    <row r="20" spans="2:10" s="13" customFormat="1" ht="16.8" x14ac:dyDescent="0.4">
      <c r="B20" s="181" t="s">
        <v>254</v>
      </c>
      <c r="C20" s="198" t="str">
        <f>'INSERÇÃO-DE-DADOS'!C33</f>
        <v>Vigilância 12x36 horas - diurno - ITA</v>
      </c>
      <c r="D20" s="199" t="str">
        <f>'POSTO 12x36 HORAS - DIURNO ITA'!D9:F9</f>
        <v>PRM / JF -Itaituba</v>
      </c>
      <c r="E20" s="199">
        <f>'POSTO 12x36 HORAS - DIURNO ITA'!F12</f>
        <v>2</v>
      </c>
      <c r="F20" s="200">
        <f>'POSTO 12x36 HORAS - DIURNO ITA'!VALOR_TOTAL_POSTO_12x36_DIU</f>
        <v>10280.879999999999</v>
      </c>
      <c r="G20" s="201">
        <f t="shared" si="0"/>
        <v>20561.759999999998</v>
      </c>
      <c r="I20" s="221"/>
    </row>
    <row r="21" spans="2:10" s="13" customFormat="1" ht="16.8" x14ac:dyDescent="0.4">
      <c r="B21" s="185" t="s">
        <v>255</v>
      </c>
      <c r="C21" s="205" t="str">
        <f>'INSERÇÃO-DE-DADOS'!C32</f>
        <v>Vigilância 12x36 horas - noturno - ITA</v>
      </c>
      <c r="D21" s="206" t="str">
        <f>'POSTO 12x36 HORAS - NOTURNO ITA'!D9:F9</f>
        <v>PRM / JF - Itaituba</v>
      </c>
      <c r="E21" s="206">
        <f>'POSTO 12x36 HORAS - NOTURNO ITA'!F12</f>
        <v>2</v>
      </c>
      <c r="F21" s="207">
        <f>'POSTO 12x36 HORAS - NOTURNO ITA'!VALOR_TOTAL_POSTO_12x36_NOT</f>
        <v>12392.68</v>
      </c>
      <c r="G21" s="208">
        <f t="shared" si="0"/>
        <v>24785.360000000001</v>
      </c>
      <c r="I21" s="221"/>
    </row>
    <row r="22" spans="2:10" s="13" customFormat="1" ht="16.8" x14ac:dyDescent="0.4">
      <c r="B22" s="181" t="s">
        <v>256</v>
      </c>
      <c r="C22" s="198" t="str">
        <f>'INSERÇÃO-DE-DADOS'!C35</f>
        <v>Vigilância 12x36 horas - diurno - ATM</v>
      </c>
      <c r="D22" s="199" t="str">
        <f>'POSTO 12x36 HORAS - DIURNO ATM'!D9:F9</f>
        <v>PRM / JF -Altamira</v>
      </c>
      <c r="E22" s="199">
        <f>'POSTO 12x36 HORAS - DIURNO ATM'!F12</f>
        <v>2</v>
      </c>
      <c r="F22" s="200">
        <f>'POSTO 12x36 HORAS - DIURNO ATM'!VALOR_TOTAL_POSTO_12x36_DIU</f>
        <v>10228.959999999999</v>
      </c>
      <c r="G22" s="201">
        <f t="shared" si="0"/>
        <v>20457.919999999998</v>
      </c>
      <c r="I22" s="221"/>
    </row>
    <row r="23" spans="2:10" s="13" customFormat="1" ht="16.8" x14ac:dyDescent="0.4">
      <c r="B23" s="202" t="s">
        <v>257</v>
      </c>
      <c r="C23" s="75" t="str">
        <f>'INSERÇÃO-DE-DADOS'!C34</f>
        <v>Vigilância 12x36 horas - noturno - ATM</v>
      </c>
      <c r="D23" s="8" t="str">
        <f>'POSTO 12x36 HORAS - NOTURNO ATM'!D9:F9</f>
        <v>PRM / JF -Altamira</v>
      </c>
      <c r="E23" s="8">
        <f>'POSTO 12x36 HORAS - NOTURNO ATM'!F12</f>
        <v>2</v>
      </c>
      <c r="F23" s="9">
        <f>'POSTO 12x36 HORAS - NOTURNO ATM'!VALOR_TOTAL_POSTO_12x36_NOT</f>
        <v>12340.74</v>
      </c>
      <c r="G23" s="203">
        <f t="shared" si="0"/>
        <v>24681.48</v>
      </c>
      <c r="I23" s="221"/>
    </row>
    <row r="24" spans="2:10" s="13" customFormat="1" ht="16.8" x14ac:dyDescent="0.4">
      <c r="B24" s="185" t="s">
        <v>258</v>
      </c>
      <c r="C24" s="186" t="str">
        <f>'INSERÇÃO-DE-DADOS'!C36</f>
        <v>Vigilância 44 horas semanais - ATM</v>
      </c>
      <c r="D24" s="187" t="str">
        <f>'POSTO 44 HORAS ATM'!D9:F9</f>
        <v>PRM / JF -Altamira</v>
      </c>
      <c r="E24" s="187">
        <f>'POSTO 44 HORAS ATM'!F12</f>
        <v>2</v>
      </c>
      <c r="F24" s="188">
        <f>'POSTO 44 HORAS ATM'!VALOR_TOTAL_POSTO_44H</f>
        <v>5512.75</v>
      </c>
      <c r="G24" s="204">
        <f t="shared" si="0"/>
        <v>11025.5</v>
      </c>
      <c r="I24" s="221"/>
    </row>
    <row r="25" spans="2:10" s="13" customFormat="1" ht="33.6" x14ac:dyDescent="0.4">
      <c r="B25" s="190" t="s">
        <v>272</v>
      </c>
      <c r="C25" s="191" t="str">
        <f>'INSERÇÃO-DE-DADOS'!C38</f>
        <v>Vigilância 12x36 horas - diurno - CAT</v>
      </c>
      <c r="D25" s="192" t="str">
        <f>'POSTO 12x36 HORAS - DIURNO (CAS'!D9:F9</f>
        <v>Subseção JF-Castanhal</v>
      </c>
      <c r="E25" s="192">
        <f>'POSTO 12x36 HORAS - DIURNO (CAS'!F12</f>
        <v>1</v>
      </c>
      <c r="F25" s="193">
        <f>'POSTO 12x36 HORAS - DIURNO (CAS'!VALOR_TOTAL_POSTO_12x36_DIU</f>
        <v>10203</v>
      </c>
      <c r="G25" s="194">
        <f t="shared" si="0"/>
        <v>10203</v>
      </c>
      <c r="I25" s="221"/>
    </row>
    <row r="26" spans="2:10" s="13" customFormat="1" ht="33.6" x14ac:dyDescent="0.4">
      <c r="B26" s="185" t="s">
        <v>273</v>
      </c>
      <c r="C26" s="186" t="str">
        <f>'INSERÇÃO-DE-DADOS'!C37</f>
        <v>Vigilância 12x36 horas - noturno - CAT</v>
      </c>
      <c r="D26" s="187" t="str">
        <f>'POSTO 12x36 HORAS - NOTU - CAST'!D9:F9</f>
        <v>Subseção JF-Castanhal</v>
      </c>
      <c r="E26" s="187">
        <f>'POSTO 12x36 HORAS - NOTU - CAST'!F12</f>
        <v>1</v>
      </c>
      <c r="F26" s="188">
        <f>'POSTO 12x36 HORAS - NOTU - CAST'!VALOR_TOTAL_POSTO_12x36_NOT</f>
        <v>12314.84</v>
      </c>
      <c r="G26" s="189">
        <f t="shared" si="0"/>
        <v>12314.84</v>
      </c>
      <c r="I26" s="221"/>
    </row>
    <row r="27" spans="2:10" s="13" customFormat="1" ht="16.8" x14ac:dyDescent="0.4">
      <c r="B27" s="372" t="s">
        <v>278</v>
      </c>
      <c r="C27" s="373"/>
      <c r="D27" s="374"/>
      <c r="E27" s="179">
        <f>IF(SUM(E6:E26)=0,"",SUM(E6:E26))</f>
        <v>54</v>
      </c>
      <c r="F27" s="180"/>
      <c r="G27" s="234">
        <f>IF(SUM(G6:G26)=0,"",SUM(G6:G26))</f>
        <v>558442.5</v>
      </c>
      <c r="H27" s="235"/>
      <c r="I27" s="233"/>
      <c r="J27" s="233"/>
    </row>
    <row r="29" spans="2:10" s="13" customFormat="1" ht="20.399999999999999" x14ac:dyDescent="0.4">
      <c r="B29" s="91" t="s">
        <v>153</v>
      </c>
      <c r="C29" s="91"/>
      <c r="D29" s="91"/>
      <c r="E29" s="91"/>
      <c r="F29" s="91"/>
    </row>
    <row r="30" spans="2:10" ht="84" x14ac:dyDescent="0.35">
      <c r="B30" s="375" t="s">
        <v>147</v>
      </c>
      <c r="C30" s="376"/>
      <c r="D30" s="2" t="str">
        <f>POSTO_12X36_DIU</f>
        <v>Vigilância 12x36 horas - diurno - BEL</v>
      </c>
      <c r="E30" s="2" t="str">
        <f>POSTO_12X36_NOT</f>
        <v>Vigilância 12x36 horas - noturno - BEL</v>
      </c>
      <c r="F30" s="4" t="str">
        <f>POSTO_44H</f>
        <v>Vigilância 44 horas semanais - BEL</v>
      </c>
    </row>
    <row r="31" spans="2:10" ht="16.8" x14ac:dyDescent="0.35">
      <c r="B31" s="370" t="s">
        <v>151</v>
      </c>
      <c r="C31" s="371"/>
      <c r="D31" s="70">
        <f>IF(SUBMOD_2_1_DEC_TERC_ADIC_FERIAS_12X36_DIU+SUBMOD_2_2_GPS_FGTS_12X36_DIU+MOD_3_PROVISAO_RESCISAO_12X36_DIU+SUBMOD_4_1_SUBSTITUTO_12X36_DIU=0,"",SUBMOD_2_1_DEC_TERC_ADIC_FERIAS_12X36_DIU+SUBMOD_2_2_GPS_FGTS_12X36_DIU+MOD_3_PROVISAO_RESCISAO_12X36_DIU+SUBMOD_4_1_SUBSTITUTO_12X36_DIU)</f>
        <v>1409.73</v>
      </c>
      <c r="E31" s="70">
        <f>IF(SUBMOD_2_1_DEC_TERC_ADIC_FERIAS_12X36_NOT+SUBMOD_2_2_GPS_FGTS_12X36_NOT+MOD_3_PROVISAO_RESCISAO_12X36_NOT+SUBMOD_4_1_SUBSTITUTO_12X36_NOT=0,"",SUBMOD_2_1_DEC_TERC_ADIC_FERIAS_12X36_NOT+SUBMOD_2_2_GPS_FGTS_12X36_NOT+MOD_3_PROVISAO_RESCISAO_12X36_NOT+SUBMOD_4_1_SUBSTITUTO_12X36_NOT)</f>
        <v>1759.05</v>
      </c>
      <c r="F31" s="70">
        <f>IF(SUBMOD_2_1_DEC_TERC_ADIC_FERIAS_44H+SUBMOD_2_2_GPS_FGTS_44H+MOD_3_PROVISAO_RESCISAO_44H+SUBMOD_4_1_SUBSTITUTO_44H=0,"",SUBMOD_2_1_DEC_TERC_ADIC_FERIAS_44H+SUBMOD_2_2_GPS_FGTS_44H+MOD_3_PROVISAO_RESCISAO_44H+SUBMOD_4_1_SUBSTITUTO_44H)</f>
        <v>1432.89</v>
      </c>
    </row>
    <row r="32" spans="2:10" ht="16.8" x14ac:dyDescent="0.35">
      <c r="B32" s="251" t="s">
        <v>150</v>
      </c>
      <c r="C32" s="253"/>
      <c r="D32" s="71">
        <f>IF(MOD_1_REMUNERACAO_12X36_DIU=0,"",MOD_1_REMUNERACAO_12X36_DIU)</f>
        <v>1821.39</v>
      </c>
      <c r="E32" s="71">
        <f>IF(MOD_1_REMUNERACAO_12X36_NOT=0,"",MOD_1_REMUNERACAO_12X36_NOT)</f>
        <v>2291.19</v>
      </c>
      <c r="F32" s="71">
        <f>IF(MOD_1_REMUNERACAO_44H=0,"",MOD_1_REMUNERACAO_44H)</f>
        <v>1821.39</v>
      </c>
    </row>
    <row r="33" spans="2:6" ht="16.8" x14ac:dyDescent="0.35">
      <c r="B33" s="309" t="s">
        <v>206</v>
      </c>
      <c r="C33" s="310"/>
      <c r="D33" s="69">
        <f>IF(IFERROR(D31/D32,0)=0,"",IFERROR(D31/D32,0))</f>
        <v>0.77400000000000002</v>
      </c>
      <c r="E33" s="69">
        <f>IF(IFERROR(E31/E32,0)=0,"",IFERROR(E31/E32,0))</f>
        <v>0.76770000000000005</v>
      </c>
      <c r="F33" s="69">
        <f>IF(IFERROR(F31/F32,0)=0,"",IFERROR(F31/F32,0))</f>
        <v>0.78669999999999995</v>
      </c>
    </row>
    <row r="34" spans="2:6" x14ac:dyDescent="0.35">
      <c r="B34" s="116" t="s">
        <v>152</v>
      </c>
      <c r="C34" s="116"/>
      <c r="D34" s="116"/>
    </row>
    <row r="36" spans="2:6" s="13" customFormat="1" ht="20.399999999999999" x14ac:dyDescent="0.4">
      <c r="B36" s="226" t="s">
        <v>183</v>
      </c>
      <c r="C36" s="226"/>
      <c r="D36" s="226"/>
      <c r="E36" s="226"/>
      <c r="F36" s="226"/>
    </row>
    <row r="37" spans="2:6" ht="84" x14ac:dyDescent="0.35">
      <c r="B37" s="366" t="s">
        <v>147</v>
      </c>
      <c r="C37" s="366"/>
      <c r="D37" s="175" t="str">
        <f>POSTO_12X36_DIU</f>
        <v>Vigilância 12x36 horas - diurno - BEL</v>
      </c>
      <c r="E37" s="175" t="str">
        <f>POSTO_12X36_NOT</f>
        <v>Vigilância 12x36 horas - noturno - BEL</v>
      </c>
      <c r="F37" s="227" t="str">
        <f>POSTO_44H</f>
        <v>Vigilância 44 horas semanais - BEL</v>
      </c>
    </row>
    <row r="38" spans="2:6" s="116" customFormat="1" ht="16.8" x14ac:dyDescent="0.35">
      <c r="B38" s="367" t="s">
        <v>184</v>
      </c>
      <c r="C38" s="367"/>
      <c r="D38" s="228">
        <f>IF(VALOR_TOTAL_POSTO_12x36_DIU=0,"",VALOR_TOTAL_POSTO_12x36_DIU)</f>
        <v>10280.879999999999</v>
      </c>
      <c r="E38" s="228">
        <f>IF(VALOR_TOTAL_POSTO_12x36_NOT=0,"",VALOR_TOTAL_POSTO_12x36_NOT)</f>
        <v>12392.68</v>
      </c>
      <c r="F38" s="228">
        <f>IF(VALOR_TOTAL_POSTO_44H=0,"",VALOR_TOTAL_POSTO_44H)</f>
        <v>5551.86</v>
      </c>
    </row>
    <row r="39" spans="2:6" ht="16.8" x14ac:dyDescent="0.35">
      <c r="B39" s="368" t="s">
        <v>191</v>
      </c>
      <c r="C39" s="368"/>
      <c r="D39" s="229">
        <f>IF(SUMIF('LIMITES-SEGES'!$A:$A,'INSERÇÃO-DE-DADOS'!$F$12,'LIMITES-SEGES'!C:C)=0,"",SUMIF('LIMITES-SEGES'!$A:$A,'INSERÇÃO-DE-DADOS'!$F$12,'LIMITES-SEGES'!C:C))</f>
        <v>9587.27</v>
      </c>
      <c r="E39" s="229">
        <f>IF(SUMIF('LIMITES-SEGES'!$A:$A,'INSERÇÃO-DE-DADOS'!$F$12,'LIMITES-SEGES'!E:E)=0,"",SUMIF('LIMITES-SEGES'!$A:$A,'INSERÇÃO-DE-DADOS'!$F$12,'LIMITES-SEGES'!E:E))</f>
        <v>11450.32</v>
      </c>
      <c r="F39" s="229">
        <f>IF(SUMIF('LIMITES-SEGES'!$A:$A,'INSERÇÃO-DE-DADOS'!$F$12,'LIMITES-SEGES'!G:G)=0,"",SUMIF('LIMITES-SEGES'!$A:$A,'INSERÇÃO-DE-DADOS'!$F$12,'LIMITES-SEGES'!G:G))</f>
        <v>5218.6099999999997</v>
      </c>
    </row>
    <row r="40" spans="2:6" ht="67.2" x14ac:dyDescent="0.35">
      <c r="B40" s="369" t="s">
        <v>193</v>
      </c>
      <c r="C40" s="369"/>
      <c r="D40" s="230" t="str">
        <f>IF(D38="","Não se aplica.",IF(D39&lt;=D38,"SIM, está em conformidade.", "NÃO, é inferior."))</f>
        <v>SIM, está em conformidade.</v>
      </c>
      <c r="E40" s="230" t="str">
        <f>IF(E38="","Não se aplica.",IF(E39&lt;=E38,"SIM, está em conformidade.", "NÃO, é inferior."))</f>
        <v>SIM, está em conformidade.</v>
      </c>
      <c r="F40" s="230" t="str">
        <f>IF(F38="","Não se aplica.",IF(F39&lt;=F38,"SIM, está em conformidade.", "NÃO, é inferior."))</f>
        <v>SIM, está em conformidade.</v>
      </c>
    </row>
    <row r="41" spans="2:6" ht="16.8" x14ac:dyDescent="0.35">
      <c r="B41" s="368" t="s">
        <v>192</v>
      </c>
      <c r="C41" s="368"/>
      <c r="D41" s="229">
        <f>IF(SUMIF('LIMITES-SEGES'!$A:$A,'INSERÇÃO-DE-DADOS'!$F$12,'LIMITES-SEGES'!D:D)=0,"",SUMIF('LIMITES-SEGES'!$A:$A,'INSERÇÃO-DE-DADOS'!$F$12,'LIMITES-SEGES'!D:D))</f>
        <v>10426.1</v>
      </c>
      <c r="E41" s="229">
        <f>IF(SUMIF('LIMITES-SEGES'!$A:$A,'INSERÇÃO-DE-DADOS'!$F$12,'LIMITES-SEGES'!F:F)=0,"",SUMIF('LIMITES-SEGES'!$A:$A,'INSERÇÃO-DE-DADOS'!$F$12,'LIMITES-SEGES'!F:F))</f>
        <v>12453.27</v>
      </c>
      <c r="F41" s="229">
        <f>IF(SUMIF('LIMITES-SEGES'!$A:$A,'INSERÇÃO-DE-DADOS'!$F$12,'LIMITES-SEGES'!H:H)=0,"",SUMIF('LIMITES-SEGES'!$A:$A,'INSERÇÃO-DE-DADOS'!$F$12,'LIMITES-SEGES'!H:H))</f>
        <v>5732.86</v>
      </c>
    </row>
    <row r="42" spans="2:6" ht="67.2" x14ac:dyDescent="0.35">
      <c r="B42" s="369" t="s">
        <v>194</v>
      </c>
      <c r="C42" s="369"/>
      <c r="D42" s="230" t="str">
        <f>IF(D38="","Não se aplica.",IF(D41&lt;=D40,"SIM, está em conformidade.", "NÃO, é inferior."))</f>
        <v>SIM, está em conformidade.</v>
      </c>
      <c r="E42" s="230" t="str">
        <f>IF(E38="","Não se aplica.",IF(E41&lt;=E40,"SIM, está em conformidade.", "NÃO, é inferior."))</f>
        <v>SIM, está em conformidade.</v>
      </c>
      <c r="F42" s="230" t="str">
        <f>IF(F38="","Não se aplica.",IF(F41&lt;=F40,"SIM, está em conformidade.", "NÃO, é inferior."))</f>
        <v>SIM, está em conformidade.</v>
      </c>
    </row>
    <row r="43" spans="2:6" x14ac:dyDescent="0.35">
      <c r="B43" s="231"/>
      <c r="C43" s="231"/>
      <c r="D43" s="231"/>
      <c r="E43" s="231"/>
      <c r="F43" s="231"/>
    </row>
  </sheetData>
  <customSheetViews>
    <customSheetView guid="{E22B0E03-E710-4313-B9E5-0BFE52A7E677}" showPageBreaks="1" view="pageBreakPreview">
      <selection activeCell="C12" sqref="C12"/>
      <pageMargins left="0.51181102362204722" right="0.51181102362204722" top="0.47" bottom="0.78740157480314965" header="0.31496062992125984" footer="0.31496062992125984"/>
      <printOptions horizontalCentered="1"/>
      <pageSetup paperSize="9" orientation="portrait" r:id="rId1"/>
    </customSheetView>
  </customSheetViews>
  <mergeCells count="14">
    <mergeCell ref="B1:F1"/>
    <mergeCell ref="B2:D2"/>
    <mergeCell ref="B27:D27"/>
    <mergeCell ref="B30:C30"/>
    <mergeCell ref="B4:G4"/>
    <mergeCell ref="B37:C37"/>
    <mergeCell ref="B38:C38"/>
    <mergeCell ref="B39:C39"/>
    <mergeCell ref="B42:C42"/>
    <mergeCell ref="B31:C31"/>
    <mergeCell ref="B32:C32"/>
    <mergeCell ref="B33:C33"/>
    <mergeCell ref="B41:C41"/>
    <mergeCell ref="B40:C40"/>
  </mergeCells>
  <printOptions horizontalCentered="1"/>
  <pageMargins left="0.17" right="0.17" top="0.47" bottom="0.78740157480314965" header="0.31496062992125984" footer="0.31496062992125984"/>
  <pageSetup paperSize="9" orientation="portrait" r:id="rId2"/>
  <ignoredErrors>
    <ignoredError sqref="B1:F2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6"/>
  <sheetViews>
    <sheetView topLeftCell="A19" workbookViewId="0">
      <selection activeCell="C31" sqref="C31:D31"/>
    </sheetView>
  </sheetViews>
  <sheetFormatPr defaultColWidth="9.109375" defaultRowHeight="16.8" x14ac:dyDescent="0.4"/>
  <cols>
    <col min="1" max="1" width="2.6640625" style="13" customWidth="1"/>
    <col min="2" max="2" width="8.88671875" style="13" customWidth="1"/>
    <col min="3" max="3" width="52.5546875" style="19" customWidth="1"/>
    <col min="4" max="4" width="22" style="19" customWidth="1"/>
    <col min="5" max="5" width="7.88671875" style="19" customWidth="1"/>
    <col min="6" max="6" width="46.33203125" style="13" customWidth="1"/>
    <col min="7" max="16384" width="9.109375" style="13"/>
  </cols>
  <sheetData>
    <row r="1" spans="2:6" s="98" customFormat="1" ht="24.6" x14ac:dyDescent="0.55000000000000004">
      <c r="B1" s="106" t="s">
        <v>210</v>
      </c>
      <c r="C1" s="13"/>
      <c r="D1" s="13"/>
      <c r="E1" s="13"/>
      <c r="F1" s="13"/>
    </row>
    <row r="2" spans="2:6" x14ac:dyDescent="0.4">
      <c r="B2" s="51" t="s">
        <v>65</v>
      </c>
      <c r="E2" s="21"/>
    </row>
    <row r="3" spans="2:6" x14ac:dyDescent="0.4">
      <c r="B3" s="51" t="s">
        <v>110</v>
      </c>
      <c r="C3" s="12"/>
      <c r="D3" s="22"/>
      <c r="E3" s="20"/>
    </row>
    <row r="4" spans="2:6" x14ac:dyDescent="0.4">
      <c r="B4" s="1" t="s">
        <v>66</v>
      </c>
      <c r="C4" s="260" t="s">
        <v>93</v>
      </c>
      <c r="D4" s="260"/>
      <c r="E4" s="4" t="s">
        <v>1</v>
      </c>
      <c r="F4" s="4" t="s">
        <v>212</v>
      </c>
    </row>
    <row r="5" spans="2:6" x14ac:dyDescent="0.4">
      <c r="B5" s="1" t="s">
        <v>2</v>
      </c>
      <c r="C5" s="298" t="s">
        <v>47</v>
      </c>
      <c r="D5" s="298"/>
      <c r="E5" s="59">
        <f>(1/MESES_NO_ANO)*100</f>
        <v>8.33</v>
      </c>
      <c r="F5" s="59" t="s">
        <v>213</v>
      </c>
    </row>
    <row r="6" spans="2:6" s="17" customFormat="1" x14ac:dyDescent="0.4">
      <c r="B6" s="2" t="s">
        <v>3</v>
      </c>
      <c r="C6" s="300" t="s">
        <v>95</v>
      </c>
      <c r="D6" s="300"/>
      <c r="E6" s="38">
        <f>(1/3)/MESES_NO_ANO*100</f>
        <v>2.78</v>
      </c>
      <c r="F6" s="38" t="s">
        <v>214</v>
      </c>
    </row>
    <row r="7" spans="2:6" s="107" customFormat="1" ht="16.5" customHeight="1" x14ac:dyDescent="0.4">
      <c r="B7" s="299" t="s">
        <v>68</v>
      </c>
      <c r="C7" s="299"/>
      <c r="D7" s="299"/>
      <c r="E7" s="299"/>
      <c r="F7" s="299"/>
    </row>
    <row r="8" spans="2:6" s="107" customFormat="1" x14ac:dyDescent="0.4">
      <c r="B8" s="1" t="s">
        <v>69</v>
      </c>
      <c r="C8" s="304" t="s">
        <v>96</v>
      </c>
      <c r="D8" s="304"/>
      <c r="E8" s="4" t="s">
        <v>1</v>
      </c>
    </row>
    <row r="9" spans="2:6" x14ac:dyDescent="0.4">
      <c r="B9" s="1" t="s">
        <v>2</v>
      </c>
      <c r="C9" s="298" t="s">
        <v>41</v>
      </c>
      <c r="D9" s="298"/>
      <c r="E9" s="59">
        <v>20</v>
      </c>
    </row>
    <row r="10" spans="2:6" s="98" customFormat="1" x14ac:dyDescent="0.25">
      <c r="B10" s="2" t="s">
        <v>3</v>
      </c>
      <c r="C10" s="300" t="s">
        <v>43</v>
      </c>
      <c r="D10" s="300"/>
      <c r="E10" s="46">
        <v>2.5</v>
      </c>
    </row>
    <row r="11" spans="2:6" s="98" customFormat="1" x14ac:dyDescent="0.25">
      <c r="B11" s="2" t="s">
        <v>4</v>
      </c>
      <c r="C11" s="298" t="s">
        <v>236</v>
      </c>
      <c r="D11" s="298"/>
      <c r="E11" s="59">
        <f>3*2</f>
        <v>6</v>
      </c>
    </row>
    <row r="12" spans="2:6" s="98" customFormat="1" x14ac:dyDescent="0.25">
      <c r="B12" s="2" t="s">
        <v>5</v>
      </c>
      <c r="C12" s="300" t="s">
        <v>88</v>
      </c>
      <c r="D12" s="300"/>
      <c r="E12" s="38">
        <v>1.5</v>
      </c>
    </row>
    <row r="13" spans="2:6" s="98" customFormat="1" x14ac:dyDescent="0.25">
      <c r="B13" s="2" t="s">
        <v>6</v>
      </c>
      <c r="C13" s="298" t="s">
        <v>89</v>
      </c>
      <c r="D13" s="298"/>
      <c r="E13" s="59">
        <v>1</v>
      </c>
    </row>
    <row r="14" spans="2:6" s="99" customFormat="1" x14ac:dyDescent="0.25">
      <c r="B14" s="2" t="s">
        <v>7</v>
      </c>
      <c r="C14" s="300" t="s">
        <v>45</v>
      </c>
      <c r="D14" s="300"/>
      <c r="E14" s="46">
        <v>0.6</v>
      </c>
    </row>
    <row r="15" spans="2:6" s="99" customFormat="1" x14ac:dyDescent="0.25">
      <c r="B15" s="2" t="s">
        <v>10</v>
      </c>
      <c r="C15" s="298" t="s">
        <v>42</v>
      </c>
      <c r="D15" s="298"/>
      <c r="E15" s="59">
        <v>0.2</v>
      </c>
    </row>
    <row r="16" spans="2:6" x14ac:dyDescent="0.4">
      <c r="B16" s="2" t="s">
        <v>11</v>
      </c>
      <c r="C16" s="300" t="s">
        <v>44</v>
      </c>
      <c r="D16" s="300"/>
      <c r="E16" s="46">
        <v>8</v>
      </c>
    </row>
    <row r="17" spans="2:6" x14ac:dyDescent="0.4">
      <c r="B17" s="260" t="s">
        <v>46</v>
      </c>
      <c r="C17" s="260"/>
      <c r="D17" s="260"/>
      <c r="E17" s="39">
        <f>SUM(E9:E16)</f>
        <v>39.799999999999997</v>
      </c>
    </row>
    <row r="18" spans="2:6" s="107" customFormat="1" x14ac:dyDescent="0.4">
      <c r="B18" s="51" t="s">
        <v>72</v>
      </c>
      <c r="C18" s="12"/>
      <c r="D18" s="22"/>
      <c r="E18" s="20"/>
    </row>
    <row r="19" spans="2:6" s="107" customFormat="1" x14ac:dyDescent="0.4">
      <c r="B19" s="1">
        <v>3</v>
      </c>
      <c r="C19" s="260" t="s">
        <v>48</v>
      </c>
      <c r="D19" s="260"/>
      <c r="E19" s="4" t="s">
        <v>1</v>
      </c>
      <c r="F19" s="4" t="s">
        <v>212</v>
      </c>
    </row>
    <row r="20" spans="2:6" s="107" customFormat="1" x14ac:dyDescent="0.4">
      <c r="B20" s="1" t="s">
        <v>2</v>
      </c>
      <c r="C20" s="301" t="s">
        <v>49</v>
      </c>
      <c r="D20" s="301"/>
      <c r="E20" s="59">
        <f>PERC_EMPREG_DEMIT_SEM_JUSTA_CAUSA_TOTAL_DESLIG%*PERC_EMPREG_AVISO_PREVIO_IND%*1/MESES_NO_ANO*100</f>
        <v>0.28999999999999998</v>
      </c>
      <c r="F20" s="59" t="s">
        <v>215</v>
      </c>
    </row>
    <row r="21" spans="2:6" s="107" customFormat="1" x14ac:dyDescent="0.4">
      <c r="B21" s="2" t="s">
        <v>3</v>
      </c>
      <c r="C21" s="303" t="s">
        <v>50</v>
      </c>
      <c r="D21" s="303"/>
      <c r="E21" s="46">
        <f>PERC_EMPREG_DEMIT_SEM_JUSTA_CAUSA_TOTAL_DESLIG%*PERC_EMPREG_AVISO_PREVIO_TRAB%*(DIAS_NA_SEMANA/DIAS_NO_MES)/MESES_NO_ANO*100</f>
        <v>1.1599999999999999</v>
      </c>
      <c r="F21" s="38" t="s">
        <v>230</v>
      </c>
    </row>
    <row r="22" spans="2:6" s="98" customFormat="1" ht="16.5" customHeight="1" x14ac:dyDescent="0.25">
      <c r="B22" s="2" t="s">
        <v>4</v>
      </c>
      <c r="C22" s="301" t="s">
        <v>232</v>
      </c>
      <c r="D22" s="301"/>
      <c r="E22" s="59">
        <f>ROUNDUP(PERC_AVISO_PREVIO_TRAB%*(PERC_MULTA_FGTS%)*PERC_FGTS%*100,2)</f>
        <v>0.04</v>
      </c>
      <c r="F22" s="59" t="s">
        <v>231</v>
      </c>
    </row>
    <row r="23" spans="2:6" s="98" customFormat="1" x14ac:dyDescent="0.4">
      <c r="B23" s="51" t="s">
        <v>73</v>
      </c>
      <c r="C23" s="12"/>
      <c r="D23" s="22"/>
      <c r="E23" s="13"/>
    </row>
    <row r="24" spans="2:6" s="98" customFormat="1" x14ac:dyDescent="0.4">
      <c r="B24" s="51" t="s">
        <v>102</v>
      </c>
      <c r="C24" s="12"/>
      <c r="D24" s="22"/>
      <c r="E24" s="20"/>
    </row>
    <row r="25" spans="2:6" s="98" customFormat="1" x14ac:dyDescent="0.25">
      <c r="B25" s="1" t="s">
        <v>18</v>
      </c>
      <c r="C25" s="302" t="s">
        <v>103</v>
      </c>
      <c r="D25" s="302"/>
      <c r="E25" s="4" t="s">
        <v>1</v>
      </c>
      <c r="F25" s="4" t="s">
        <v>212</v>
      </c>
    </row>
    <row r="26" spans="2:6" s="98" customFormat="1" x14ac:dyDescent="0.25">
      <c r="B26" s="2" t="s">
        <v>2</v>
      </c>
      <c r="C26" s="298" t="s">
        <v>104</v>
      </c>
      <c r="D26" s="298"/>
      <c r="E26" s="59">
        <f>(1/MESES_NO_ANO)*100</f>
        <v>8.33</v>
      </c>
      <c r="F26" s="59" t="s">
        <v>216</v>
      </c>
    </row>
    <row r="27" spans="2:6" s="98" customFormat="1" x14ac:dyDescent="0.25">
      <c r="B27" s="2" t="s">
        <v>3</v>
      </c>
      <c r="C27" s="95" t="s">
        <v>105</v>
      </c>
      <c r="D27" s="95"/>
      <c r="E27" s="46">
        <f>(DIAS_AUSENCIAS_LEGAIS/DIAS_NO_MES)/MESES_NO_ANO*100</f>
        <v>2.2200000000000002</v>
      </c>
      <c r="F27" s="38" t="s">
        <v>217</v>
      </c>
    </row>
    <row r="28" spans="2:6" s="98" customFormat="1" x14ac:dyDescent="0.25">
      <c r="B28" s="2" t="s">
        <v>4</v>
      </c>
      <c r="C28" s="298" t="s">
        <v>106</v>
      </c>
      <c r="D28" s="298"/>
      <c r="E28" s="59">
        <f>(((DIAS_LICENCA_PATERNIDADE/DIAS_NO_MES)/MESES_NO_ANO)*PERC_NASCIDOS_VIVOS_POPUL_FEM%*PERC_PARTIC_MASC_VIGIL%)*100</f>
        <v>7.0000000000000007E-2</v>
      </c>
      <c r="F28" s="59" t="s">
        <v>219</v>
      </c>
    </row>
    <row r="29" spans="2:6" s="98" customFormat="1" x14ac:dyDescent="0.25">
      <c r="B29" s="2" t="s">
        <v>5</v>
      </c>
      <c r="C29" s="300" t="s">
        <v>107</v>
      </c>
      <c r="D29" s="300"/>
      <c r="E29" s="46">
        <f>(DIAS_PAGOS_EMPRESA_ACID_TRAB/DIAS_NO_MES)/MESES_NO_ANO*PERC_EMPREG_AFAST_TRAB%*100</f>
        <v>0.02</v>
      </c>
      <c r="F29" s="38" t="s">
        <v>218</v>
      </c>
    </row>
    <row r="30" spans="2:6" s="98" customFormat="1" x14ac:dyDescent="0.25">
      <c r="B30" s="2" t="s">
        <v>6</v>
      </c>
      <c r="C30" s="298" t="s">
        <v>108</v>
      </c>
      <c r="D30" s="298"/>
      <c r="E30" s="59">
        <f>(((DIAS_LICENCA_MATERNIDADE/DIAS_NO_MES)/MESES_NO_ANO)*PERC_NASCIDOS_VIVOS_POPUL_FEM%*PERC_PARTIC_FEM_VIGIL%*PERC_GPS_FGTS%*100)</f>
        <v>0.04</v>
      </c>
      <c r="F30" s="59" t="s">
        <v>220</v>
      </c>
    </row>
    <row r="31" spans="2:6" s="98" customFormat="1" x14ac:dyDescent="0.25">
      <c r="B31" s="2" t="s">
        <v>7</v>
      </c>
      <c r="C31" s="300" t="str">
        <f>OUTRAS_AUSENCIAS_DESCRICAO</f>
        <v>Outras Ausências (Especificar - em %)</v>
      </c>
      <c r="D31" s="300"/>
      <c r="E31" s="46">
        <f>PERC_SUBSTITUTO_OUTRAS_AUSENCIAS</f>
        <v>0</v>
      </c>
      <c r="F31" s="38"/>
    </row>
    <row r="32" spans="2:6" s="98" customFormat="1" x14ac:dyDescent="0.25">
      <c r="B32" s="175"/>
      <c r="C32" s="15"/>
      <c r="D32" s="15"/>
      <c r="E32" s="224"/>
      <c r="F32" s="225"/>
    </row>
    <row r="33" spans="2:6" s="98" customFormat="1" x14ac:dyDescent="0.25">
      <c r="B33" s="1" t="s">
        <v>19</v>
      </c>
      <c r="C33" s="260" t="s">
        <v>225</v>
      </c>
      <c r="D33" s="260"/>
      <c r="E33" s="260"/>
      <c r="F33" s="4" t="s">
        <v>212</v>
      </c>
    </row>
    <row r="34" spans="2:6" s="98" customFormat="1" x14ac:dyDescent="0.25">
      <c r="B34" s="1" t="s">
        <v>2</v>
      </c>
      <c r="C34" s="298" t="s">
        <v>309</v>
      </c>
      <c r="D34" s="298"/>
      <c r="E34" s="298"/>
      <c r="F34" s="59" t="s">
        <v>311</v>
      </c>
    </row>
    <row r="35" spans="2:6" s="98" customFormat="1" ht="16.5" customHeight="1" x14ac:dyDescent="0.25">
      <c r="B35" s="148" t="s">
        <v>3</v>
      </c>
      <c r="C35" s="251" t="s">
        <v>310</v>
      </c>
      <c r="D35" s="252"/>
      <c r="E35" s="253"/>
      <c r="F35" s="223" t="s">
        <v>312</v>
      </c>
    </row>
    <row r="36" spans="2:6" ht="37.5" customHeight="1" x14ac:dyDescent="0.4">
      <c r="B36" s="274" t="s">
        <v>222</v>
      </c>
      <c r="C36" s="274"/>
      <c r="D36" s="274"/>
      <c r="E36" s="274"/>
      <c r="F36" s="274"/>
    </row>
  </sheetData>
  <mergeCells count="28">
    <mergeCell ref="C4:D4"/>
    <mergeCell ref="C5:D5"/>
    <mergeCell ref="C6:D6"/>
    <mergeCell ref="C10:D10"/>
    <mergeCell ref="C11:D11"/>
    <mergeCell ref="C9:D9"/>
    <mergeCell ref="C20:D20"/>
    <mergeCell ref="C12:D12"/>
    <mergeCell ref="C13:D13"/>
    <mergeCell ref="C14:D14"/>
    <mergeCell ref="C15:D15"/>
    <mergeCell ref="C19:D19"/>
    <mergeCell ref="C33:E33"/>
    <mergeCell ref="C34:E34"/>
    <mergeCell ref="C35:E35"/>
    <mergeCell ref="B36:F36"/>
    <mergeCell ref="B7:F7"/>
    <mergeCell ref="C29:D29"/>
    <mergeCell ref="C30:D30"/>
    <mergeCell ref="C22:D22"/>
    <mergeCell ref="C25:D25"/>
    <mergeCell ref="C26:D26"/>
    <mergeCell ref="C21:D21"/>
    <mergeCell ref="C16:D16"/>
    <mergeCell ref="B17:D17"/>
    <mergeCell ref="C28:D28"/>
    <mergeCell ref="C31:D31"/>
    <mergeCell ref="C8:D8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>
      <formula1>0</formula1>
      <formula2>1.94</formula2>
    </dataValidation>
  </dataValidations>
  <pageMargins left="0.18" right="0.17" top="0.23" bottom="0.08" header="0.31496062000000002" footer="0.06"/>
  <pageSetup paperSize="9" orientation="landscape" r:id="rId1"/>
  <ignoredErrors>
    <ignoredError sqref="E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5"/>
  <sheetViews>
    <sheetView topLeftCell="A10" zoomScaleNormal="100" zoomScaleSheetLayoutView="100" workbookViewId="0">
      <selection activeCell="G30" sqref="G30"/>
    </sheetView>
  </sheetViews>
  <sheetFormatPr defaultColWidth="9.109375" defaultRowHeight="16.8" x14ac:dyDescent="0.4"/>
  <cols>
    <col min="1" max="1" width="2.6640625" style="13" customWidth="1"/>
    <col min="2" max="2" width="8.88671875" style="13" customWidth="1"/>
    <col min="3" max="3" width="52.5546875" style="19" customWidth="1"/>
    <col min="4" max="4" width="7.88671875" style="19" customWidth="1"/>
    <col min="5" max="5" width="13.5546875" style="19" customWidth="1"/>
    <col min="6" max="6" width="15.44140625" style="19" bestFit="1" customWidth="1"/>
    <col min="7" max="7" width="15.44140625" style="17" customWidth="1"/>
    <col min="8" max="8" width="65.33203125" style="13" customWidth="1"/>
    <col min="9" max="10" width="12.5546875" style="13" bestFit="1" customWidth="1"/>
    <col min="11" max="16384" width="9.109375" style="13"/>
  </cols>
  <sheetData>
    <row r="1" spans="2:7" ht="20.399999999999999" x14ac:dyDescent="0.45">
      <c r="B1" s="313" t="str">
        <f>RAMO</f>
        <v>RAMO: MINISTÉRIO PÚBLIC FEDERAL</v>
      </c>
      <c r="C1" s="314"/>
      <c r="D1" s="314"/>
      <c r="E1" s="314"/>
      <c r="F1" s="315"/>
    </row>
    <row r="2" spans="2:7" ht="20.399999999999999" x14ac:dyDescent="0.45">
      <c r="B2" s="316" t="str">
        <f>UG</f>
        <v>UNIDADE GESTORA (SIGLA): PR-PA</v>
      </c>
      <c r="C2" s="317"/>
      <c r="D2" s="318"/>
      <c r="E2" s="113" t="s">
        <v>57</v>
      </c>
      <c r="F2" s="114" t="str">
        <f>DATA_DO_ORCAMENTO_ESTIMATIVO</f>
        <v>XX/XX/20XX</v>
      </c>
    </row>
    <row r="3" spans="2:7" s="98" customFormat="1" ht="24.6" x14ac:dyDescent="0.55000000000000004">
      <c r="B3" s="281" t="s">
        <v>54</v>
      </c>
      <c r="C3" s="281"/>
      <c r="D3" s="281"/>
      <c r="E3" s="281"/>
      <c r="F3" s="281"/>
      <c r="G3" s="173"/>
    </row>
    <row r="4" spans="2:7" s="98" customFormat="1" ht="15.9" customHeight="1" x14ac:dyDescent="0.4">
      <c r="B4" s="282" t="s">
        <v>97</v>
      </c>
      <c r="C4" s="282"/>
      <c r="D4" s="282"/>
      <c r="E4" s="282"/>
      <c r="F4" s="282"/>
      <c r="G4" s="173"/>
    </row>
    <row r="5" spans="2:7" s="98" customFormat="1" ht="15.9" customHeight="1" x14ac:dyDescent="0.4">
      <c r="B5" s="285" t="s">
        <v>223</v>
      </c>
      <c r="C5" s="285"/>
      <c r="D5" s="319" t="str">
        <f>NUMERO_PROCESSO</f>
        <v>1.23.000.000855/2020-32</v>
      </c>
      <c r="E5" s="319"/>
      <c r="F5" s="319"/>
      <c r="G5" s="173"/>
    </row>
    <row r="6" spans="2:7" s="98" customFormat="1" ht="15.75" customHeight="1" x14ac:dyDescent="0.4">
      <c r="B6" s="289" t="s">
        <v>224</v>
      </c>
      <c r="C6" s="289"/>
      <c r="D6" s="320" t="str">
        <f>MODALIDADE_DE_LICITACAO</f>
        <v>Pregão nº</v>
      </c>
      <c r="E6" s="320"/>
      <c r="F6" s="167" t="str">
        <f>NUMERO_PREGAO</f>
        <v>XX/20XX</v>
      </c>
      <c r="G6" s="173"/>
    </row>
    <row r="7" spans="2:7" s="99" customFormat="1" ht="15.75" customHeight="1" x14ac:dyDescent="0.45">
      <c r="B7" s="321" t="s">
        <v>58</v>
      </c>
      <c r="C7" s="321"/>
      <c r="D7" s="321"/>
      <c r="E7" s="321"/>
      <c r="F7" s="321"/>
      <c r="G7" s="173"/>
    </row>
    <row r="8" spans="2:7" s="98" customFormat="1" ht="18" customHeight="1" x14ac:dyDescent="0.4">
      <c r="B8" s="25" t="s">
        <v>2</v>
      </c>
      <c r="C8" s="285" t="s">
        <v>63</v>
      </c>
      <c r="D8" s="285"/>
      <c r="E8" s="285"/>
      <c r="F8" s="168" t="str">
        <f>DATA_APRESENTACAO_PROPOSTA</f>
        <v>XX/XX/20XX</v>
      </c>
      <c r="G8" s="173"/>
    </row>
    <row r="9" spans="2:7" s="98" customFormat="1" ht="15.9" customHeight="1" x14ac:dyDescent="0.25">
      <c r="B9" s="1" t="s">
        <v>3</v>
      </c>
      <c r="C9" s="67" t="s">
        <v>36</v>
      </c>
      <c r="D9" s="311" t="str">
        <f>IF(LOCAL_DE_EXECUCAO="","",LOCAL_DE_EXECUCAO)</f>
        <v>SEDE PR-PA / JF - Belém</v>
      </c>
      <c r="E9" s="311"/>
      <c r="F9" s="311"/>
      <c r="G9" s="173"/>
    </row>
    <row r="10" spans="2:7" s="98" customFormat="1" ht="18.75" customHeight="1" x14ac:dyDescent="0.4">
      <c r="B10" s="25" t="s">
        <v>4</v>
      </c>
      <c r="C10" s="285" t="s">
        <v>37</v>
      </c>
      <c r="D10" s="285"/>
      <c r="E10" s="285"/>
      <c r="F10" s="169" t="str">
        <f>ACORDO_COLETIVO</f>
        <v>CCT 2020/2021</v>
      </c>
      <c r="G10" s="173"/>
    </row>
    <row r="11" spans="2:7" s="98" customFormat="1" ht="15.9" customHeight="1" x14ac:dyDescent="0.4">
      <c r="B11" s="1" t="s">
        <v>5</v>
      </c>
      <c r="C11" s="311" t="s">
        <v>64</v>
      </c>
      <c r="D11" s="311"/>
      <c r="E11" s="311"/>
      <c r="F11" s="170">
        <f>NUMERO_MESES_EXEC_CONTRATUAL</f>
        <v>12</v>
      </c>
      <c r="G11" s="173"/>
    </row>
    <row r="12" spans="2:7" s="98" customFormat="1" x14ac:dyDescent="0.4">
      <c r="B12" s="1" t="s">
        <v>6</v>
      </c>
      <c r="C12" s="312" t="s">
        <v>85</v>
      </c>
      <c r="D12" s="312"/>
      <c r="E12" s="312"/>
      <c r="F12" s="171">
        <v>8</v>
      </c>
      <c r="G12" s="173"/>
    </row>
    <row r="13" spans="2:7" s="98" customFormat="1" ht="7.5" customHeight="1" x14ac:dyDescent="0.4">
      <c r="B13" s="122"/>
      <c r="C13" s="123"/>
      <c r="D13" s="123"/>
      <c r="E13" s="123"/>
      <c r="F13" s="104"/>
      <c r="G13" s="173"/>
    </row>
    <row r="14" spans="2:7" s="98" customFormat="1" ht="21" customHeight="1" x14ac:dyDescent="0.55000000000000004">
      <c r="B14" s="106" t="s">
        <v>205</v>
      </c>
      <c r="C14" s="13"/>
      <c r="D14" s="13"/>
      <c r="E14" s="13"/>
      <c r="F14" s="13"/>
      <c r="G14" s="173"/>
    </row>
    <row r="15" spans="2:7" s="98" customFormat="1" x14ac:dyDescent="0.4">
      <c r="B15" s="25">
        <v>1</v>
      </c>
      <c r="C15" s="243" t="s">
        <v>60</v>
      </c>
      <c r="D15" s="243"/>
      <c r="E15" s="247" t="str">
        <f>TIPO_DE_SERVICO</f>
        <v>Vigilância</v>
      </c>
      <c r="F15" s="247"/>
      <c r="G15" s="173"/>
    </row>
    <row r="16" spans="2:7" s="99" customFormat="1" x14ac:dyDescent="0.4">
      <c r="B16" s="25">
        <v>2</v>
      </c>
      <c r="C16" s="27" t="s">
        <v>59</v>
      </c>
      <c r="D16" s="246" t="str">
        <f>CBO</f>
        <v>5173-30</v>
      </c>
      <c r="E16" s="246"/>
      <c r="F16" s="246"/>
      <c r="G16" s="173"/>
    </row>
    <row r="17" spans="2:7" s="98" customFormat="1" ht="15" customHeight="1" x14ac:dyDescent="0.4">
      <c r="B17" s="25">
        <v>3</v>
      </c>
      <c r="C17" s="56" t="s">
        <v>61</v>
      </c>
      <c r="D17" s="247" t="str">
        <f>CATEGORIA_PROFISSIONAL</f>
        <v>Vigilante</v>
      </c>
      <c r="E17" s="247"/>
      <c r="F17" s="247"/>
      <c r="G17" s="173"/>
    </row>
    <row r="18" spans="2:7" s="98" customFormat="1" ht="15" customHeight="1" x14ac:dyDescent="0.4">
      <c r="B18" s="25">
        <v>4</v>
      </c>
      <c r="C18" s="248" t="s">
        <v>62</v>
      </c>
      <c r="D18" s="248"/>
      <c r="E18" s="248"/>
      <c r="F18" s="172">
        <f>DATA_BASE_CATEGORIA</f>
        <v>43831</v>
      </c>
      <c r="G18" s="173"/>
    </row>
    <row r="19" spans="2:7" s="98" customFormat="1" ht="15" customHeight="1" x14ac:dyDescent="0.4">
      <c r="B19" s="28"/>
      <c r="C19" s="29"/>
      <c r="D19" s="29"/>
      <c r="E19" s="29"/>
      <c r="F19" s="105"/>
      <c r="G19" s="173"/>
    </row>
    <row r="20" spans="2:7" s="124" customFormat="1" ht="30" customHeight="1" x14ac:dyDescent="0.4">
      <c r="B20" s="322" t="s">
        <v>40</v>
      </c>
      <c r="C20" s="322"/>
      <c r="D20" s="322"/>
      <c r="E20" s="322"/>
      <c r="F20" s="322"/>
      <c r="G20" s="174"/>
    </row>
    <row r="21" spans="2:7" x14ac:dyDescent="0.4">
      <c r="B21" s="260" t="s">
        <v>52</v>
      </c>
      <c r="C21" s="260"/>
      <c r="D21" s="260"/>
      <c r="E21" s="260"/>
      <c r="F21" s="151">
        <v>2</v>
      </c>
      <c r="G21" s="175"/>
    </row>
    <row r="22" spans="2:7" x14ac:dyDescent="0.4">
      <c r="B22" s="51" t="s">
        <v>8</v>
      </c>
      <c r="E22" s="14"/>
      <c r="F22" s="14"/>
    </row>
    <row r="23" spans="2:7" x14ac:dyDescent="0.4">
      <c r="B23" s="1">
        <v>1</v>
      </c>
      <c r="C23" s="244" t="s">
        <v>9</v>
      </c>
      <c r="D23" s="323"/>
      <c r="E23" s="245"/>
      <c r="F23" s="152" t="s">
        <v>13</v>
      </c>
      <c r="G23" s="175"/>
    </row>
    <row r="24" spans="2:7" x14ac:dyDescent="0.4">
      <c r="B24" s="1" t="s">
        <v>2</v>
      </c>
      <c r="C24" s="275" t="s">
        <v>92</v>
      </c>
      <c r="D24" s="276"/>
      <c r="E24" s="277"/>
      <c r="F24" s="153">
        <f>SALARIO_BASE</f>
        <v>1401.07</v>
      </c>
      <c r="G24" s="176"/>
    </row>
    <row r="25" spans="2:7" x14ac:dyDescent="0.4">
      <c r="B25" s="1" t="s">
        <v>3</v>
      </c>
      <c r="C25" s="251" t="s">
        <v>94</v>
      </c>
      <c r="D25" s="252"/>
      <c r="E25" s="253"/>
      <c r="F25" s="154">
        <f>PERC_ADIC_PERIC%*SALARIO_BASE</f>
        <v>420.32</v>
      </c>
      <c r="G25" s="176"/>
    </row>
    <row r="26" spans="2:7" x14ac:dyDescent="0.4">
      <c r="B26" s="1" t="s">
        <v>4</v>
      </c>
      <c r="C26" s="275" t="str">
        <f>OUTROS_REMUNERACAO_1_DESCRICAO</f>
        <v>DSR - Adicional noturno - 1/6</v>
      </c>
      <c r="D26" s="276"/>
      <c r="E26" s="277"/>
      <c r="F26" s="153">
        <v>0</v>
      </c>
      <c r="G26" s="176"/>
    </row>
    <row r="27" spans="2:7" x14ac:dyDescent="0.4">
      <c r="B27" s="1" t="s">
        <v>5</v>
      </c>
      <c r="C27" s="305" t="str">
        <f>OUTROS_REMUNERACAO_2_DESCRICAO</f>
        <v>DSR - Hora noturna reduzida - 1/6</v>
      </c>
      <c r="D27" s="306"/>
      <c r="E27" s="307"/>
      <c r="F27" s="154">
        <f>OUTROS_REMUNERACAO_2</f>
        <v>0</v>
      </c>
      <c r="G27" s="176"/>
    </row>
    <row r="28" spans="2:7" x14ac:dyDescent="0.4">
      <c r="B28" s="268" t="s">
        <v>46</v>
      </c>
      <c r="C28" s="269"/>
      <c r="D28" s="269"/>
      <c r="E28" s="270"/>
      <c r="F28" s="155">
        <f>SUM(F24:F27)</f>
        <v>1821.39</v>
      </c>
      <c r="G28" s="176"/>
    </row>
    <row r="29" spans="2:7" x14ac:dyDescent="0.4">
      <c r="B29" s="51" t="s">
        <v>65</v>
      </c>
      <c r="E29" s="21"/>
      <c r="F29" s="21"/>
    </row>
    <row r="30" spans="2:7" x14ac:dyDescent="0.4">
      <c r="B30" s="51" t="s">
        <v>110</v>
      </c>
      <c r="C30" s="12"/>
      <c r="D30" s="22"/>
      <c r="E30" s="20"/>
      <c r="F30" s="20"/>
    </row>
    <row r="31" spans="2:7" x14ac:dyDescent="0.4">
      <c r="B31" s="1" t="s">
        <v>66</v>
      </c>
      <c r="C31" s="268" t="s">
        <v>93</v>
      </c>
      <c r="D31" s="270"/>
      <c r="E31" s="4" t="s">
        <v>1</v>
      </c>
      <c r="F31" s="152" t="s">
        <v>13</v>
      </c>
      <c r="G31" s="175"/>
    </row>
    <row r="32" spans="2:7" x14ac:dyDescent="0.4">
      <c r="B32" s="1" t="s">
        <v>2</v>
      </c>
      <c r="C32" s="275" t="s">
        <v>47</v>
      </c>
      <c r="D32" s="276"/>
      <c r="E32" s="59">
        <f>PERC_DEC_TERC</f>
        <v>8.33</v>
      </c>
      <c r="F32" s="156">
        <f>PERC_DEC_TERC%*(MOD_1_REMUNERACAO_12X36_DIU)</f>
        <v>151.72</v>
      </c>
      <c r="G32" s="176"/>
    </row>
    <row r="33" spans="2:8" s="17" customFormat="1" x14ac:dyDescent="0.4">
      <c r="B33" s="2" t="s">
        <v>3</v>
      </c>
      <c r="C33" s="251" t="s">
        <v>95</v>
      </c>
      <c r="D33" s="253"/>
      <c r="E33" s="38">
        <f>PERC_ADIC_FERIAS</f>
        <v>2.78</v>
      </c>
      <c r="F33" s="157">
        <f>PERC_ADIC_FERIAS%*(MOD_1_REMUNERACAO_12X36_DIU)</f>
        <v>50.63</v>
      </c>
      <c r="G33" s="176"/>
    </row>
    <row r="34" spans="2:8" s="107" customFormat="1" x14ac:dyDescent="0.4">
      <c r="B34" s="268" t="s">
        <v>46</v>
      </c>
      <c r="C34" s="269"/>
      <c r="D34" s="269"/>
      <c r="E34" s="270"/>
      <c r="F34" s="158">
        <f>SUM(F32:F33)</f>
        <v>202.35</v>
      </c>
      <c r="G34" s="176"/>
    </row>
    <row r="35" spans="2:8" s="107" customFormat="1" ht="31.5" customHeight="1" x14ac:dyDescent="0.4">
      <c r="B35" s="308" t="s">
        <v>68</v>
      </c>
      <c r="C35" s="308"/>
      <c r="D35" s="308"/>
      <c r="E35" s="308"/>
      <c r="F35" s="308"/>
      <c r="G35" s="177"/>
    </row>
    <row r="36" spans="2:8" s="107" customFormat="1" ht="34.5" customHeight="1" x14ac:dyDescent="0.4">
      <c r="B36" s="1" t="s">
        <v>69</v>
      </c>
      <c r="C36" s="309" t="s">
        <v>96</v>
      </c>
      <c r="D36" s="310"/>
      <c r="E36" s="4" t="s">
        <v>1</v>
      </c>
      <c r="F36" s="152" t="s">
        <v>13</v>
      </c>
      <c r="G36" s="175"/>
    </row>
    <row r="37" spans="2:8" x14ac:dyDescent="0.4">
      <c r="B37" s="1" t="s">
        <v>2</v>
      </c>
      <c r="C37" s="275" t="s">
        <v>41</v>
      </c>
      <c r="D37" s="276"/>
      <c r="E37" s="59">
        <f>PERC_INSS</f>
        <v>20</v>
      </c>
      <c r="F37" s="156">
        <f>PERC_INSS%*(MOD_1_REMUNERACAO_12X36_DIU+SUBMOD_2_1_DEC_TERC_ADIC_FERIAS_12X36_DIU)</f>
        <v>404.75</v>
      </c>
      <c r="G37" s="176"/>
    </row>
    <row r="38" spans="2:8" s="98" customFormat="1" x14ac:dyDescent="0.4">
      <c r="B38" s="2" t="s">
        <v>3</v>
      </c>
      <c r="C38" s="251" t="s">
        <v>43</v>
      </c>
      <c r="D38" s="253"/>
      <c r="E38" s="46">
        <f>PERC_SAL_EDUCACAO</f>
        <v>2.5</v>
      </c>
      <c r="F38" s="157">
        <f>PERC_SAL_EDUCACAO%*(MOD_1_REMUNERACAO_12X36_DIU+SUBMOD_2_1_DEC_TERC_ADIC_FERIAS_12X36_DIU)</f>
        <v>50.59</v>
      </c>
      <c r="G38" s="176"/>
      <c r="H38" s="13"/>
    </row>
    <row r="39" spans="2:8" s="98" customFormat="1" x14ac:dyDescent="0.4">
      <c r="B39" s="2" t="s">
        <v>4</v>
      </c>
      <c r="C39" s="275" t="s">
        <v>236</v>
      </c>
      <c r="D39" s="276"/>
      <c r="E39" s="59">
        <f>PERC_RAT</f>
        <v>6</v>
      </c>
      <c r="F39" s="156">
        <f>PERC_RAT%*(MOD_1_REMUNERACAO_12X36_DIU+SUBMOD_2_1_DEC_TERC_ADIC_FERIAS_12X36_DIU)</f>
        <v>121.42</v>
      </c>
      <c r="G39" s="176"/>
      <c r="H39" s="13"/>
    </row>
    <row r="40" spans="2:8" s="98" customFormat="1" x14ac:dyDescent="0.4">
      <c r="B40" s="2" t="s">
        <v>5</v>
      </c>
      <c r="C40" s="251" t="s">
        <v>88</v>
      </c>
      <c r="D40" s="253"/>
      <c r="E40" s="38">
        <f>PERC_SESC</f>
        <v>1.5</v>
      </c>
      <c r="F40" s="157">
        <f>PERC_SESC%*(MOD_1_REMUNERACAO_12X36_DIU+SUBMOD_2_1_DEC_TERC_ADIC_FERIAS_12X36_DIU)</f>
        <v>30.36</v>
      </c>
      <c r="G40" s="176"/>
      <c r="H40" s="13"/>
    </row>
    <row r="41" spans="2:8" s="98" customFormat="1" x14ac:dyDescent="0.4">
      <c r="B41" s="2" t="s">
        <v>6</v>
      </c>
      <c r="C41" s="275" t="s">
        <v>89</v>
      </c>
      <c r="D41" s="276"/>
      <c r="E41" s="59">
        <f>PERC_SENAC</f>
        <v>1</v>
      </c>
      <c r="F41" s="156">
        <f>PERC_SENAC%*(MOD_1_REMUNERACAO_12X36_DIU+SUBMOD_2_1_DEC_TERC_ADIC_FERIAS_12X36_DIU)</f>
        <v>20.239999999999998</v>
      </c>
      <c r="G41" s="176"/>
      <c r="H41" s="13"/>
    </row>
    <row r="42" spans="2:8" s="99" customFormat="1" x14ac:dyDescent="0.4">
      <c r="B42" s="2" t="s">
        <v>7</v>
      </c>
      <c r="C42" s="251" t="s">
        <v>45</v>
      </c>
      <c r="D42" s="253"/>
      <c r="E42" s="46">
        <f>PERC_SEBRAE</f>
        <v>0.6</v>
      </c>
      <c r="F42" s="157">
        <f>PERC_SEBRAE%*(MOD_1_REMUNERACAO_12X36_DIU+SUBMOD_2_1_DEC_TERC_ADIC_FERIAS_12X36_DIU)</f>
        <v>12.14</v>
      </c>
      <c r="G42" s="176"/>
      <c r="H42" s="13"/>
    </row>
    <row r="43" spans="2:8" s="99" customFormat="1" x14ac:dyDescent="0.4">
      <c r="B43" s="2" t="s">
        <v>10</v>
      </c>
      <c r="C43" s="275" t="s">
        <v>42</v>
      </c>
      <c r="D43" s="276"/>
      <c r="E43" s="59">
        <f>PERC_INCRA</f>
        <v>0.2</v>
      </c>
      <c r="F43" s="156">
        <f>PERC_INCRA%*(MOD_1_REMUNERACAO_12X36_DIU+SUBMOD_2_1_DEC_TERC_ADIC_FERIAS_12X36_DIU)</f>
        <v>4.05</v>
      </c>
      <c r="G43" s="176"/>
      <c r="H43" s="13"/>
    </row>
    <row r="44" spans="2:8" x14ac:dyDescent="0.4">
      <c r="B44" s="2" t="s">
        <v>11</v>
      </c>
      <c r="C44" s="251" t="s">
        <v>44</v>
      </c>
      <c r="D44" s="253"/>
      <c r="E44" s="46">
        <f>PERC_FGTS</f>
        <v>8</v>
      </c>
      <c r="F44" s="157">
        <f>PERC_FGTS%*(MOD_1_REMUNERACAO_12X36_DIU+SUBMOD_2_1_DEC_TERC_ADIC_FERIAS_12X36_DIU)</f>
        <v>161.9</v>
      </c>
      <c r="G44" s="176"/>
    </row>
    <row r="45" spans="2:8" x14ac:dyDescent="0.4">
      <c r="B45" s="268" t="s">
        <v>46</v>
      </c>
      <c r="C45" s="269"/>
      <c r="D45" s="269"/>
      <c r="E45" s="270"/>
      <c r="F45" s="159">
        <f>SUM(F37:F44)</f>
        <v>805.45</v>
      </c>
      <c r="G45" s="176"/>
    </row>
    <row r="46" spans="2:8" ht="15.75" customHeight="1" x14ac:dyDescent="0.4">
      <c r="B46" s="51" t="s">
        <v>71</v>
      </c>
      <c r="C46" s="99"/>
      <c r="D46" s="99"/>
      <c r="E46" s="99"/>
      <c r="F46" s="99"/>
    </row>
    <row r="47" spans="2:8" ht="15.75" customHeight="1" x14ac:dyDescent="0.4">
      <c r="B47" s="1" t="s">
        <v>90</v>
      </c>
      <c r="C47" s="268" t="s">
        <v>14</v>
      </c>
      <c r="D47" s="269"/>
      <c r="E47" s="270"/>
      <c r="F47" s="152" t="s">
        <v>13</v>
      </c>
      <c r="G47" s="175"/>
    </row>
    <row r="48" spans="2:8" x14ac:dyDescent="0.4">
      <c r="B48" s="25" t="s">
        <v>2</v>
      </c>
      <c r="C48" s="275" t="s">
        <v>15</v>
      </c>
      <c r="D48" s="276"/>
      <c r="E48" s="277"/>
      <c r="F48" s="156">
        <f>IF(((TRANSPORTE_POR_DIA*DIAS_TRABALHADOS_NO_MES_12X36)-(PERC_DESC_TRANSP_REMUNERACAO%*(AL_1_A_SAL_BASE_12X36_DIU/2)))&gt;0,((TRANSPORTE_POR_DIA*DIAS_TRABALHADOS_NO_MES_12X36)-(PERC_DESC_TRANSP_REMUNERACAO%*(AL_1_A_SAL_BASE_12X36_DIU/2))),0)</f>
        <v>65.97</v>
      </c>
      <c r="G48" s="176"/>
    </row>
    <row r="49" spans="2:7" s="107" customFormat="1" x14ac:dyDescent="0.4">
      <c r="B49" s="25" t="s">
        <v>3</v>
      </c>
      <c r="C49" s="251" t="s">
        <v>70</v>
      </c>
      <c r="D49" s="252"/>
      <c r="E49" s="253"/>
      <c r="F49" s="157">
        <f>ALIMENTACAO_POR_DIA*DIAS_TRABALHADOS_NO_MES_12X36*0.99</f>
        <v>386.1</v>
      </c>
      <c r="G49" s="176"/>
    </row>
    <row r="50" spans="2:7" s="107" customFormat="1" x14ac:dyDescent="0.4">
      <c r="B50" s="25" t="s">
        <v>4</v>
      </c>
      <c r="C50" s="275" t="str">
        <f>OUTROS_BENEFICIOS_1_DESCRICAO</f>
        <v>Auxílio saúde</v>
      </c>
      <c r="D50" s="276"/>
      <c r="E50" s="277"/>
      <c r="F50" s="156"/>
      <c r="G50" s="176"/>
    </row>
    <row r="51" spans="2:7" s="107" customFormat="1" x14ac:dyDescent="0.4">
      <c r="B51" s="25" t="s">
        <v>5</v>
      </c>
      <c r="C51" s="305" t="str">
        <f>OUTROS_BENEFICIOS_2_DESCRICAO</f>
        <v>Auxílio morte/funeral</v>
      </c>
      <c r="D51" s="306"/>
      <c r="E51" s="307"/>
      <c r="F51" s="157"/>
      <c r="G51" s="176"/>
    </row>
    <row r="52" spans="2:7" s="107" customFormat="1" x14ac:dyDescent="0.4">
      <c r="B52" s="25" t="s">
        <v>6</v>
      </c>
      <c r="C52" s="275" t="str">
        <f>OUTROS_BENEFICIOS_3_DESCRICAO</f>
        <v>Seguro de vida</v>
      </c>
      <c r="D52" s="276"/>
      <c r="E52" s="277"/>
      <c r="F52" s="156"/>
      <c r="G52" s="176"/>
    </row>
    <row r="53" spans="2:7" s="107" customFormat="1" ht="15" customHeight="1" x14ac:dyDescent="0.4">
      <c r="B53" s="268" t="s">
        <v>46</v>
      </c>
      <c r="C53" s="269"/>
      <c r="D53" s="269"/>
      <c r="E53" s="270"/>
      <c r="F53" s="155">
        <f>SUM(F48:F52)</f>
        <v>452.07</v>
      </c>
      <c r="G53" s="176"/>
    </row>
    <row r="54" spans="2:7" s="107" customFormat="1" x14ac:dyDescent="0.4">
      <c r="B54" s="51" t="s">
        <v>72</v>
      </c>
      <c r="C54" s="12"/>
      <c r="D54" s="22"/>
      <c r="E54" s="20"/>
      <c r="F54" s="20"/>
      <c r="G54" s="177"/>
    </row>
    <row r="55" spans="2:7" s="107" customFormat="1" ht="15" customHeight="1" x14ac:dyDescent="0.4">
      <c r="B55" s="1">
        <v>3</v>
      </c>
      <c r="C55" s="260" t="s">
        <v>48</v>
      </c>
      <c r="D55" s="260"/>
      <c r="E55" s="4" t="s">
        <v>1</v>
      </c>
      <c r="F55" s="152" t="s">
        <v>13</v>
      </c>
      <c r="G55" s="175"/>
    </row>
    <row r="56" spans="2:7" s="107" customFormat="1" x14ac:dyDescent="0.4">
      <c r="B56" s="1" t="s">
        <v>2</v>
      </c>
      <c r="C56" s="301" t="s">
        <v>49</v>
      </c>
      <c r="D56" s="301"/>
      <c r="E56" s="59">
        <f>PERC_AVISO_PREVIO_IND</f>
        <v>0.28999999999999998</v>
      </c>
      <c r="F56" s="156">
        <f>PERC_AVISO_PREVIO_IND%*(MOD_1_REMUNERACAO_12X36_DIU+SUBMOD_2_1_DEC_TERC_ADIC_FERIAS_12X36_DIU+AL_2_2_FGTS_12X36_DIU+SUBMOD_2_3_BENEFICIOS_12X36_DIU)</f>
        <v>7.65</v>
      </c>
      <c r="G56" s="176"/>
    </row>
    <row r="57" spans="2:7" s="107" customFormat="1" x14ac:dyDescent="0.4">
      <c r="B57" s="2" t="s">
        <v>3</v>
      </c>
      <c r="C57" s="303" t="s">
        <v>50</v>
      </c>
      <c r="D57" s="303"/>
      <c r="E57" s="46">
        <f>PERC_AVISO_PREVIO_TRAB</f>
        <v>1.1599999999999999</v>
      </c>
      <c r="F57" s="157">
        <f>PERC_AVISO_PREVIO_TRAB%*(MOD_1_REMUNERACAO_12X36_DIU+SUBMOD_2_1_DEC_TERC_ADIC_FERIAS_12X36_DIU+SUBMOD_2_2_GPS_FGTS_12X36_DIU+SUBMOD_2_3_BENEFICIOS_12X36_DIU)</f>
        <v>38.06</v>
      </c>
      <c r="G57" s="176"/>
    </row>
    <row r="58" spans="2:7" s="98" customFormat="1" x14ac:dyDescent="0.25">
      <c r="B58" s="2" t="s">
        <v>4</v>
      </c>
      <c r="C58" s="301" t="s">
        <v>232</v>
      </c>
      <c r="D58" s="301"/>
      <c r="E58" s="59">
        <f>PERC_MULTA_FGTS_AV_PREV_TRAB</f>
        <v>0.04</v>
      </c>
      <c r="F58" s="156">
        <f>PERC_MULTA_FGTS_AV_PREV_TRAB%*(MOD_1_REMUNERACAO_12X36_DIU+SUBMOD_2_1_DEC_TERC_ADIC_FERIAS_12X36_DIU)</f>
        <v>0.81</v>
      </c>
      <c r="G58" s="176"/>
    </row>
    <row r="59" spans="2:7" s="98" customFormat="1" x14ac:dyDescent="0.4">
      <c r="B59" s="268" t="s">
        <v>46</v>
      </c>
      <c r="C59" s="269"/>
      <c r="D59" s="269"/>
      <c r="E59" s="270"/>
      <c r="F59" s="158">
        <f>SUM(F56:F58)</f>
        <v>46.52</v>
      </c>
      <c r="G59" s="176"/>
    </row>
    <row r="60" spans="2:7" ht="7.5" customHeight="1" x14ac:dyDescent="0.4">
      <c r="B60" s="16"/>
      <c r="C60" s="17"/>
      <c r="D60" s="18"/>
      <c r="E60" s="14"/>
      <c r="F60" s="14"/>
    </row>
    <row r="61" spans="2:7" s="98" customFormat="1" ht="15.9" customHeight="1" x14ac:dyDescent="0.4">
      <c r="B61" s="51" t="s">
        <v>73</v>
      </c>
      <c r="C61" s="12"/>
      <c r="D61" s="22"/>
      <c r="E61" s="13"/>
      <c r="F61" s="13"/>
      <c r="G61" s="173"/>
    </row>
    <row r="62" spans="2:7" s="98" customFormat="1" ht="15.9" customHeight="1" x14ac:dyDescent="0.4">
      <c r="B62" s="51" t="s">
        <v>102</v>
      </c>
      <c r="C62" s="12"/>
      <c r="D62" s="22"/>
      <c r="E62" s="20"/>
      <c r="F62" s="20"/>
      <c r="G62" s="173"/>
    </row>
    <row r="63" spans="2:7" s="98" customFormat="1" x14ac:dyDescent="0.25">
      <c r="B63" s="1" t="s">
        <v>18</v>
      </c>
      <c r="C63" s="302" t="s">
        <v>103</v>
      </c>
      <c r="D63" s="302"/>
      <c r="E63" s="4" t="s">
        <v>1</v>
      </c>
      <c r="F63" s="152" t="s">
        <v>13</v>
      </c>
      <c r="G63" s="175"/>
    </row>
    <row r="64" spans="2:7" s="98" customFormat="1" ht="15.9" customHeight="1" x14ac:dyDescent="0.25">
      <c r="B64" s="2" t="s">
        <v>2</v>
      </c>
      <c r="C64" s="298" t="s">
        <v>104</v>
      </c>
      <c r="D64" s="298"/>
      <c r="E64" s="59">
        <f>PERC_SUBSTITUTO_FERIAS</f>
        <v>8.33</v>
      </c>
      <c r="F64" s="156">
        <f>PERC_SUBSTITUTO_FERIAS%*(MOD_1_REMUNERACAO_12X36_DIU+MOD_2_ENCARGOS_BENEFICIOS_12X36_DIU+MOD_3_PROVISAO_RESCISAO_12X36_DIU)</f>
        <v>277.2</v>
      </c>
      <c r="G64" s="176"/>
    </row>
    <row r="65" spans="2:7" s="98" customFormat="1" ht="15.9" customHeight="1" x14ac:dyDescent="0.25">
      <c r="B65" s="2" t="s">
        <v>3</v>
      </c>
      <c r="C65" s="300" t="s">
        <v>105</v>
      </c>
      <c r="D65" s="300"/>
      <c r="E65" s="46">
        <f>PERC_SUBSTITUTO_AUSENCIAS_LEGAIS</f>
        <v>2.2200000000000002</v>
      </c>
      <c r="F65" s="157">
        <f>PERC_SUBSTITUTO_AUSENCIAS_LEGAIS%*(MOD_1_REMUNERACAO_12X36_DIU+MOD_2_ENCARGOS_BENEFICIOS_12X36_DIU+MOD_3_PROVISAO_RESCISAO_12X36_DIU)</f>
        <v>73.88</v>
      </c>
      <c r="G65" s="176"/>
    </row>
    <row r="66" spans="2:7" s="98" customFormat="1" ht="15.9" customHeight="1" x14ac:dyDescent="0.25">
      <c r="B66" s="2" t="s">
        <v>4</v>
      </c>
      <c r="C66" s="298" t="s">
        <v>106</v>
      </c>
      <c r="D66" s="298"/>
      <c r="E66" s="59">
        <f>PERC_SUBSTITUTO_LICENCA_PATERNIDADE</f>
        <v>7.0000000000000007E-2</v>
      </c>
      <c r="F66" s="156">
        <f>PERC_SUBSTITUTO_LICENCA_PATERNIDADE%*(MOD_1_REMUNERACAO_12X36_DIU+MOD_2_ENCARGOS_BENEFICIOS_12X36_DIU+MOD_3_PROVISAO_RESCISAO_12X36_DIU)</f>
        <v>2.33</v>
      </c>
      <c r="G66" s="176"/>
    </row>
    <row r="67" spans="2:7" s="98" customFormat="1" x14ac:dyDescent="0.25">
      <c r="B67" s="2" t="s">
        <v>5</v>
      </c>
      <c r="C67" s="300" t="s">
        <v>107</v>
      </c>
      <c r="D67" s="300"/>
      <c r="E67" s="46">
        <f>PERC_SUBSTITUTO_ACID_TRAB</f>
        <v>0.02</v>
      </c>
      <c r="F67" s="157">
        <f>PERC_SUBSTITUTO_ACID_TRAB%*(MOD_1_REMUNERACAO_12X36_DIU+MOD_2_ENCARGOS_BENEFICIOS_12X36_DIU+MOD_3_PROVISAO_RESCISAO_12X36_DIU)</f>
        <v>0.67</v>
      </c>
      <c r="G67" s="176"/>
    </row>
    <row r="68" spans="2:7" s="98" customFormat="1" x14ac:dyDescent="0.25">
      <c r="B68" s="2" t="s">
        <v>6</v>
      </c>
      <c r="C68" s="298" t="s">
        <v>108</v>
      </c>
      <c r="D68" s="298"/>
      <c r="E68" s="59">
        <f>PERC_SUBSTITUTO_AFAST_MATERN</f>
        <v>0.04</v>
      </c>
      <c r="F68" s="156">
        <f>PERC_SUBSTITUTO_AFAST_MATERN%*(MOD_1_REMUNERACAO_12X36_DIU+MOD_2_ENCARGOS_BENEFICIOS_12X36_DIU+MOD_3_PROVISAO_RESCISAO_12X36_DIU)</f>
        <v>1.33</v>
      </c>
      <c r="G68" s="176"/>
    </row>
    <row r="69" spans="2:7" s="98" customFormat="1" x14ac:dyDescent="0.25">
      <c r="B69" s="2" t="s">
        <v>7</v>
      </c>
      <c r="C69" s="325" t="str">
        <f>OUTRAS_AUSENCIAS_DESCRICAO</f>
        <v>Outras Ausências (Especificar - em %)</v>
      </c>
      <c r="D69" s="300"/>
      <c r="E69" s="53">
        <f>PERC_SUBSTITUTO_OUTRAS_AUSENCIAS</f>
        <v>0</v>
      </c>
      <c r="F69" s="157">
        <f>PERC_SUBSTITUTO_OUTRAS_AUSENCIAS%*(MOD_1_REMUNERACAO_12X36_DIU+MOD_2_ENCARGOS_BENEFICIOS_12X36_DIU+MOD_3_PROVISAO_RESCISAO_12X36_DIU)</f>
        <v>0</v>
      </c>
      <c r="G69" s="176"/>
    </row>
    <row r="70" spans="2:7" s="98" customFormat="1" x14ac:dyDescent="0.4">
      <c r="B70" s="268" t="s">
        <v>46</v>
      </c>
      <c r="C70" s="269"/>
      <c r="D70" s="269"/>
      <c r="E70" s="270"/>
      <c r="F70" s="158">
        <f>SUM(F64:F69)</f>
        <v>355.41</v>
      </c>
      <c r="G70" s="176"/>
    </row>
    <row r="71" spans="2:7" s="98" customFormat="1" ht="15" customHeight="1" x14ac:dyDescent="0.4">
      <c r="B71" s="51" t="s">
        <v>226</v>
      </c>
      <c r="C71" s="12"/>
      <c r="D71" s="22"/>
      <c r="E71" s="20"/>
      <c r="F71" s="20"/>
      <c r="G71" s="173"/>
    </row>
    <row r="72" spans="2:7" s="98" customFormat="1" x14ac:dyDescent="0.25">
      <c r="B72" s="1" t="s">
        <v>19</v>
      </c>
      <c r="C72" s="260" t="s">
        <v>225</v>
      </c>
      <c r="D72" s="260"/>
      <c r="E72" s="260"/>
      <c r="F72" s="152" t="s">
        <v>13</v>
      </c>
      <c r="G72" s="175"/>
    </row>
    <row r="73" spans="2:7" s="98" customFormat="1" x14ac:dyDescent="0.25">
      <c r="B73" s="1" t="s">
        <v>2</v>
      </c>
      <c r="C73" s="298" t="s">
        <v>109</v>
      </c>
      <c r="D73" s="298"/>
      <c r="E73" s="298"/>
      <c r="F73" s="57">
        <f>((MOD_1_REMUNERACAO_12X36_DIU+MOD_2_ENCARGOS_BENEFICIOS_12X36_DIU+MOD_3_PROVISAO_RESCISAO_12X36_DIU)/DIVISOR_DE_HORAS)*((TEMPO_INTERVALO_REFEICAO/HORA_NORMAL))*DIAS_TRABALHADOS_NO_MES_12X36</f>
        <v>226.89</v>
      </c>
      <c r="G73" s="176"/>
    </row>
    <row r="74" spans="2:7" s="98" customFormat="1" x14ac:dyDescent="0.4">
      <c r="B74" s="260" t="s">
        <v>46</v>
      </c>
      <c r="C74" s="260"/>
      <c r="D74" s="260"/>
      <c r="E74" s="260"/>
      <c r="F74" s="158">
        <f>SUM(F73)</f>
        <v>226.89</v>
      </c>
      <c r="G74" s="176"/>
    </row>
    <row r="75" spans="2:7" ht="7.5" customHeight="1" x14ac:dyDescent="0.4">
      <c r="B75" s="16"/>
      <c r="C75" s="17"/>
      <c r="D75" s="18"/>
      <c r="E75" s="14"/>
      <c r="F75" s="14"/>
    </row>
    <row r="76" spans="2:7" x14ac:dyDescent="0.4">
      <c r="B76" s="51" t="s">
        <v>77</v>
      </c>
      <c r="C76" s="12"/>
      <c r="D76" s="12"/>
      <c r="E76" s="20"/>
      <c r="F76" s="20"/>
    </row>
    <row r="77" spans="2:7" ht="15.75" customHeight="1" x14ac:dyDescent="0.4">
      <c r="B77" s="49">
        <v>5</v>
      </c>
      <c r="C77" s="271" t="s">
        <v>0</v>
      </c>
      <c r="D77" s="271"/>
      <c r="E77" s="271"/>
      <c r="F77" s="160" t="s">
        <v>13</v>
      </c>
      <c r="G77" s="175"/>
    </row>
    <row r="78" spans="2:7" x14ac:dyDescent="0.4">
      <c r="B78" s="44" t="s">
        <v>2</v>
      </c>
      <c r="C78" s="272" t="s">
        <v>16</v>
      </c>
      <c r="D78" s="272"/>
      <c r="E78" s="272"/>
      <c r="F78" s="161">
        <f>[1]Uniforme!$F$19</f>
        <v>244.71</v>
      </c>
      <c r="G78" s="176"/>
    </row>
    <row r="79" spans="2:7" x14ac:dyDescent="0.4">
      <c r="B79" s="44" t="s">
        <v>3</v>
      </c>
      <c r="C79" s="273" t="s">
        <v>285</v>
      </c>
      <c r="D79" s="273"/>
      <c r="E79" s="273"/>
      <c r="F79" s="162">
        <f>'[1]Equipamentos - material'!$H$24</f>
        <v>77.400000000000006</v>
      </c>
      <c r="G79" s="176"/>
    </row>
    <row r="80" spans="2:7" x14ac:dyDescent="0.4">
      <c r="B80" s="44" t="s">
        <v>4</v>
      </c>
      <c r="C80" s="272" t="s">
        <v>286</v>
      </c>
      <c r="D80" s="272"/>
      <c r="E80" s="272"/>
      <c r="F80" s="161">
        <f>'[1]Equipamentos - material'!$H$7</f>
        <v>8.09</v>
      </c>
      <c r="G80" s="176"/>
    </row>
    <row r="81" spans="2:8" x14ac:dyDescent="0.4">
      <c r="B81" s="44" t="s">
        <v>5</v>
      </c>
      <c r="C81" s="324" t="str">
        <f>OUTROS_INSUMOS_DESCRICAO</f>
        <v>Outros (Especificar)</v>
      </c>
      <c r="D81" s="273"/>
      <c r="E81" s="273"/>
      <c r="F81" s="162">
        <f>OUTROS_INSUMOS</f>
        <v>0</v>
      </c>
      <c r="G81" s="176"/>
    </row>
    <row r="82" spans="2:8" x14ac:dyDescent="0.4">
      <c r="B82" s="328" t="s">
        <v>46</v>
      </c>
      <c r="C82" s="328"/>
      <c r="D82" s="328"/>
      <c r="E82" s="328"/>
      <c r="F82" s="163">
        <f>SUM(F78:F81)</f>
        <v>330.2</v>
      </c>
      <c r="G82" s="176"/>
    </row>
    <row r="83" spans="2:8" ht="7.5" customHeight="1" x14ac:dyDescent="0.4">
      <c r="B83" s="16"/>
      <c r="C83" s="17"/>
      <c r="D83" s="18"/>
      <c r="E83" s="14"/>
      <c r="F83" s="14"/>
    </row>
    <row r="84" spans="2:8" ht="15" customHeight="1" x14ac:dyDescent="0.4">
      <c r="B84" s="264" t="s">
        <v>76</v>
      </c>
      <c r="C84" s="264"/>
      <c r="D84" s="264"/>
      <c r="E84" s="264"/>
      <c r="F84" s="264"/>
    </row>
    <row r="85" spans="2:8" x14ac:dyDescent="0.4">
      <c r="B85" s="1">
        <v>6</v>
      </c>
      <c r="C85" s="260" t="s">
        <v>20</v>
      </c>
      <c r="D85" s="260"/>
      <c r="E85" s="4" t="s">
        <v>1</v>
      </c>
      <c r="F85" s="152" t="s">
        <v>13</v>
      </c>
      <c r="G85" s="175"/>
    </row>
    <row r="86" spans="2:8" x14ac:dyDescent="0.4">
      <c r="B86" s="1" t="s">
        <v>2</v>
      </c>
      <c r="C86" s="298" t="s">
        <v>78</v>
      </c>
      <c r="D86" s="298"/>
      <c r="E86" s="61">
        <f>PERC_CUSTOS_INDIRETOS</f>
        <v>4.8499999999999996</v>
      </c>
      <c r="F86" s="156">
        <f>PERC_CUSTOS_INDIRETOS%*(MOD_1_REMUNERACAO_12X36_DIU+MOD_2_ENCARGOS_BENEFICIOS_12X36_DIU+MOD_3_PROVISAO_RESCISAO_12X36_DIU+MOD_4_CUSTO_REPOSICAO_12X36_DIU+MOD_5_INSUMOS_12X36_DIU)</f>
        <v>205.65</v>
      </c>
      <c r="G86" s="176"/>
    </row>
    <row r="87" spans="2:8" ht="15.75" customHeight="1" x14ac:dyDescent="0.4">
      <c r="B87" s="2" t="s">
        <v>3</v>
      </c>
      <c r="C87" s="300" t="s">
        <v>32</v>
      </c>
      <c r="D87" s="300"/>
      <c r="E87" s="48">
        <f>PERC_LUCRO</f>
        <v>5.45</v>
      </c>
      <c r="F87" s="157">
        <f>PERC_LUCRO%*(MOD_1_REMUNERACAO_12X36_DIU+MOD_2_ENCARGOS_BENEFICIOS_12X36_DIU+MOD_3_PROVISAO_RESCISAO_12X36_DIU+MOD_4_CUSTO_REPOSICAO_12X36_DIU+MOD_5_INSUMOS_12X36_DIU+AL_6_A_CUSTOS_INDIRETOS_12X36_DIU)</f>
        <v>242.3</v>
      </c>
      <c r="G87" s="176"/>
    </row>
    <row r="88" spans="2:8" x14ac:dyDescent="0.4">
      <c r="B88" s="2" t="s">
        <v>4</v>
      </c>
      <c r="C88" s="298" t="s">
        <v>21</v>
      </c>
      <c r="D88" s="298"/>
      <c r="E88" s="61">
        <f>SUM(E89:E91)</f>
        <v>8.65</v>
      </c>
      <c r="F88" s="156">
        <f>SUM(F89:F91)</f>
        <v>443.93</v>
      </c>
      <c r="G88" s="176"/>
    </row>
    <row r="89" spans="2:8" ht="15.75" customHeight="1" x14ac:dyDescent="0.4">
      <c r="B89" s="30" t="s">
        <v>79</v>
      </c>
      <c r="C89" s="326" t="s">
        <v>23</v>
      </c>
      <c r="D89" s="326"/>
      <c r="E89" s="31">
        <f>PERC_PIS</f>
        <v>0.65</v>
      </c>
      <c r="F89" s="164">
        <f>((MOD_1_REMUNERACAO_12X36_DIU+MOD_2_ENCARGOS_BENEFICIOS_12X36_DIU+MOD_3_PROVISAO_RESCISAO_12X36_DIU+MOD_4_CUSTO_REPOSICAO_12X36_DIU+MOD_5_INSUMOS_12X36_DIU+AL_6_A_CUSTOS_INDIRETOS_12X36_DIU+AL_6_B_LUCRO_12X36_DIU)*PERC_PIS%)/(1-PERC_TRIBUTOS%)</f>
        <v>33.36</v>
      </c>
      <c r="G89" s="176"/>
    </row>
    <row r="90" spans="2:8" x14ac:dyDescent="0.4">
      <c r="B90" s="30" t="s">
        <v>80</v>
      </c>
      <c r="C90" s="327" t="s">
        <v>24</v>
      </c>
      <c r="D90" s="327"/>
      <c r="E90" s="62">
        <f>PERC_COFINS</f>
        <v>3</v>
      </c>
      <c r="F90" s="165">
        <f>((MOD_1_REMUNERACAO_12X36_DIU+MOD_2_ENCARGOS_BENEFICIOS_12X36_DIU+MOD_3_PROVISAO_RESCISAO_12X36_DIU+MOD_4_CUSTO_REPOSICAO_12X36_DIU+MOD_5_INSUMOS_12X36_DIU+AL_6_A_CUSTOS_INDIRETOS_12X36_DIU+AL_6_B_LUCRO_12X36_DIU)*PERC_COFINS%)/(1-PERC_TRIBUTOS%)</f>
        <v>153.96</v>
      </c>
      <c r="G90" s="176"/>
    </row>
    <row r="91" spans="2:8" s="108" customFormat="1" x14ac:dyDescent="0.4">
      <c r="B91" s="30" t="s">
        <v>81</v>
      </c>
      <c r="C91" s="326" t="s">
        <v>25</v>
      </c>
      <c r="D91" s="326"/>
      <c r="E91" s="31">
        <f>PERC_ISS</f>
        <v>5</v>
      </c>
      <c r="F91" s="164">
        <f>((MOD_1_REMUNERACAO_12X36_DIU+MOD_2_ENCARGOS_BENEFICIOS_12X36_DIU+MOD_3_PROVISAO_RESCISAO_12X36_DIU+MOD_4_CUSTO_REPOSICAO_12X36_DIU+MOD_5_INSUMOS_12X36_DIU+AL_6_A_CUSTOS_INDIRETOS_12X36_DIU+AL_6_B_LUCRO_12X36_DIU)*PERC_ISS%)/(1-PERC_TRIBUTOS%)</f>
        <v>256.61</v>
      </c>
      <c r="G91" s="176"/>
      <c r="H91" s="13"/>
    </row>
    <row r="92" spans="2:8" s="108" customFormat="1" x14ac:dyDescent="0.4">
      <c r="B92" s="268" t="s">
        <v>46</v>
      </c>
      <c r="C92" s="269"/>
      <c r="D92" s="269"/>
      <c r="E92" s="270"/>
      <c r="F92" s="166">
        <f>AL_6_A_CUSTOS_INDIRETOS_12X36_DIU+AL_6_B_LUCRO_12X36_DIU+AL_6_C_TRIBUTOS_12X36_DIU</f>
        <v>891.88</v>
      </c>
      <c r="G92" s="176"/>
    </row>
    <row r="93" spans="2:8" s="108" customFormat="1" x14ac:dyDescent="0.4">
      <c r="B93" s="264" t="s">
        <v>261</v>
      </c>
      <c r="C93" s="264"/>
      <c r="D93" s="264"/>
      <c r="E93" s="264"/>
      <c r="F93" s="264"/>
      <c r="G93" s="178"/>
    </row>
    <row r="94" spans="2:8" s="108" customFormat="1" x14ac:dyDescent="0.4">
      <c r="B94" s="147" t="s">
        <v>2</v>
      </c>
      <c r="C94" s="275" t="str">
        <f>'INSERÇÃO-DE-DADOS'!C85:E85</f>
        <v>Dia do Vigilante - Clausula 82ª CCT - Jornada 12x36 diurno</v>
      </c>
      <c r="D94" s="276"/>
      <c r="E94" s="277"/>
      <c r="F94" s="153">
        <f>'INSERÇÃO-DE-DADOS'!F85</f>
        <v>8.2799999999999994</v>
      </c>
      <c r="G94" s="176"/>
    </row>
    <row r="95" spans="2:8" s="108" customFormat="1" ht="20.399999999999999" x14ac:dyDescent="0.4">
      <c r="B95" s="52" t="s">
        <v>53</v>
      </c>
      <c r="C95" s="15"/>
      <c r="D95" s="15"/>
      <c r="E95" s="15"/>
      <c r="F95" s="23"/>
      <c r="G95" s="178"/>
    </row>
    <row r="96" spans="2:8" s="109" customFormat="1" ht="16.5" customHeight="1" x14ac:dyDescent="0.4">
      <c r="B96" s="2" t="s">
        <v>98</v>
      </c>
      <c r="C96" s="257" t="s">
        <v>99</v>
      </c>
      <c r="D96" s="258"/>
      <c r="E96" s="259"/>
      <c r="F96" s="152" t="s">
        <v>17</v>
      </c>
      <c r="G96" s="175"/>
      <c r="H96" s="128"/>
    </row>
    <row r="97" spans="2:8" s="108" customFormat="1" x14ac:dyDescent="0.4">
      <c r="B97" s="1">
        <v>1</v>
      </c>
      <c r="C97" s="298" t="s">
        <v>9</v>
      </c>
      <c r="D97" s="298"/>
      <c r="E97" s="298"/>
      <c r="F97" s="156">
        <f>MOD_1_REMUNERACAO_12X36_DIU</f>
        <v>1821.39</v>
      </c>
      <c r="G97" s="176"/>
    </row>
    <row r="98" spans="2:8" s="110" customFormat="1" ht="16.5" customHeight="1" x14ac:dyDescent="0.4">
      <c r="B98" s="2">
        <v>2</v>
      </c>
      <c r="C98" s="300" t="s">
        <v>100</v>
      </c>
      <c r="D98" s="300"/>
      <c r="E98" s="300"/>
      <c r="F98" s="157">
        <f>MOD_2_ENCARGOS_BENEFICIOS_12X36_DIU</f>
        <v>1459.87</v>
      </c>
      <c r="G98" s="176"/>
    </row>
    <row r="99" spans="2:8" s="110" customFormat="1" x14ac:dyDescent="0.4">
      <c r="B99" s="2">
        <v>3</v>
      </c>
      <c r="C99" s="298" t="s">
        <v>48</v>
      </c>
      <c r="D99" s="298"/>
      <c r="E99" s="298"/>
      <c r="F99" s="156">
        <f>MOD_3_PROVISAO_RESCISAO_12X36_DIU</f>
        <v>46.52</v>
      </c>
      <c r="G99" s="176"/>
    </row>
    <row r="100" spans="2:8" s="110" customFormat="1" x14ac:dyDescent="0.4">
      <c r="B100" s="2">
        <v>4</v>
      </c>
      <c r="C100" s="300" t="s">
        <v>51</v>
      </c>
      <c r="D100" s="300"/>
      <c r="E100" s="300"/>
      <c r="F100" s="157">
        <f>MOD_4_CUSTO_REPOSICAO_12X36_DIU</f>
        <v>582.29999999999995</v>
      </c>
      <c r="G100" s="176"/>
    </row>
    <row r="101" spans="2:8" s="110" customFormat="1" x14ac:dyDescent="0.4">
      <c r="B101" s="2">
        <v>5</v>
      </c>
      <c r="C101" s="298" t="s">
        <v>0</v>
      </c>
      <c r="D101" s="298"/>
      <c r="E101" s="298"/>
      <c r="F101" s="156">
        <f>MOD_5_INSUMOS_12X36_DIU</f>
        <v>330.2</v>
      </c>
      <c r="G101" s="176"/>
    </row>
    <row r="102" spans="2:8" s="110" customFormat="1" x14ac:dyDescent="0.4">
      <c r="B102" s="2">
        <v>6</v>
      </c>
      <c r="C102" s="300" t="s">
        <v>20</v>
      </c>
      <c r="D102" s="300"/>
      <c r="E102" s="300"/>
      <c r="F102" s="157">
        <f>MOD_6_CUSTOS_IND_LUCRO_TRIB_12X36_DIU</f>
        <v>891.88</v>
      </c>
      <c r="G102" s="176"/>
    </row>
    <row r="103" spans="2:8" s="110" customFormat="1" x14ac:dyDescent="0.4">
      <c r="B103" s="2">
        <v>7</v>
      </c>
      <c r="C103" s="249" t="str">
        <f>C94</f>
        <v>Dia do Vigilante - Clausula 82ª CCT - Jornada 12x36 diurno</v>
      </c>
      <c r="D103" s="298"/>
      <c r="E103" s="298"/>
      <c r="F103" s="156">
        <f>F94</f>
        <v>8.2799999999999994</v>
      </c>
      <c r="G103" s="176"/>
    </row>
    <row r="104" spans="2:8" ht="16.5" customHeight="1" x14ac:dyDescent="0.4">
      <c r="B104" s="302" t="s">
        <v>101</v>
      </c>
      <c r="C104" s="302"/>
      <c r="D104" s="302"/>
      <c r="E104" s="302"/>
      <c r="F104" s="166">
        <f>SUM(F97:F103)</f>
        <v>5140.4399999999996</v>
      </c>
      <c r="G104" s="176"/>
      <c r="H104" s="129"/>
    </row>
    <row r="105" spans="2:8" ht="16.5" customHeight="1" x14ac:dyDescent="0.4">
      <c r="B105" s="302" t="s">
        <v>30</v>
      </c>
      <c r="C105" s="302"/>
      <c r="D105" s="302"/>
      <c r="E105" s="302"/>
      <c r="F105" s="166">
        <f>VALOR_TOTAL_EMPREGADO_12x36_DIU*EMPREG_POR_POSTO_12X36_DIU</f>
        <v>10280.879999999999</v>
      </c>
      <c r="G105" s="176"/>
    </row>
  </sheetData>
  <customSheetViews>
    <customSheetView guid="{E22B0E03-E710-4313-B9E5-0BFE52A7E677}" showPageBreaks="1" view="pageLayout">
      <selection activeCell="C22" sqref="C22:E22"/>
      <pageMargins left="0.15748031496062992" right="0.23622047244094491" top="0.27559055118110237" bottom="0.15748031496062992" header="0.23622047244094491" footer="0.15748031496062992"/>
      <printOptions horizontalCentered="1"/>
      <pageSetup paperSize="9" firstPageNumber="0" orientation="portrait" verticalDpi="300" r:id="rId1"/>
      <headerFooter alignWithMargins="0"/>
    </customSheetView>
  </customSheetViews>
  <mergeCells count="92">
    <mergeCell ref="B93:F93"/>
    <mergeCell ref="B104:E104"/>
    <mergeCell ref="B105:E105"/>
    <mergeCell ref="C98:E98"/>
    <mergeCell ref="C99:E99"/>
    <mergeCell ref="C100:E100"/>
    <mergeCell ref="C101:E101"/>
    <mergeCell ref="C102:E102"/>
    <mergeCell ref="C103:E103"/>
    <mergeCell ref="C96:E96"/>
    <mergeCell ref="C97:E97"/>
    <mergeCell ref="C94:E94"/>
    <mergeCell ref="B82:E82"/>
    <mergeCell ref="B84:F84"/>
    <mergeCell ref="C85:D85"/>
    <mergeCell ref="C86:D86"/>
    <mergeCell ref="C87:D87"/>
    <mergeCell ref="C88:D88"/>
    <mergeCell ref="B92:E92"/>
    <mergeCell ref="C89:D89"/>
    <mergeCell ref="C90:D90"/>
    <mergeCell ref="C91:D91"/>
    <mergeCell ref="C67:D67"/>
    <mergeCell ref="C68:D68"/>
    <mergeCell ref="C69:D69"/>
    <mergeCell ref="C72:E72"/>
    <mergeCell ref="C73:E73"/>
    <mergeCell ref="B74:E74"/>
    <mergeCell ref="C77:E77"/>
    <mergeCell ref="C78:E78"/>
    <mergeCell ref="C79:E79"/>
    <mergeCell ref="C80:E80"/>
    <mergeCell ref="C15:D15"/>
    <mergeCell ref="E15:F15"/>
    <mergeCell ref="B21:E21"/>
    <mergeCell ref="C81:E81"/>
    <mergeCell ref="B53:E53"/>
    <mergeCell ref="B59:E59"/>
    <mergeCell ref="B70:E70"/>
    <mergeCell ref="C63:D63"/>
    <mergeCell ref="C64:D64"/>
    <mergeCell ref="C65:D65"/>
    <mergeCell ref="C66:D66"/>
    <mergeCell ref="C58:D58"/>
    <mergeCell ref="C57:D57"/>
    <mergeCell ref="C55:D55"/>
    <mergeCell ref="C56:D56"/>
    <mergeCell ref="C50:E50"/>
    <mergeCell ref="B1:F1"/>
    <mergeCell ref="B2:D2"/>
    <mergeCell ref="C24:E24"/>
    <mergeCell ref="C25:E25"/>
    <mergeCell ref="B4:F4"/>
    <mergeCell ref="B5:C5"/>
    <mergeCell ref="D5:F5"/>
    <mergeCell ref="B6:C6"/>
    <mergeCell ref="D6:E6"/>
    <mergeCell ref="B7:F7"/>
    <mergeCell ref="C8:E8"/>
    <mergeCell ref="D16:F16"/>
    <mergeCell ref="D17:F17"/>
    <mergeCell ref="C18:E18"/>
    <mergeCell ref="B20:F20"/>
    <mergeCell ref="C23:E23"/>
    <mergeCell ref="B3:F3"/>
    <mergeCell ref="B35:F35"/>
    <mergeCell ref="C36:D36"/>
    <mergeCell ref="C37:D37"/>
    <mergeCell ref="C38:D38"/>
    <mergeCell ref="C26:E26"/>
    <mergeCell ref="C31:D31"/>
    <mergeCell ref="C32:D32"/>
    <mergeCell ref="C33:D33"/>
    <mergeCell ref="B34:E34"/>
    <mergeCell ref="C27:E27"/>
    <mergeCell ref="D9:F9"/>
    <mergeCell ref="C10:E10"/>
    <mergeCell ref="C11:E11"/>
    <mergeCell ref="C12:E12"/>
    <mergeCell ref="B28:E28"/>
    <mergeCell ref="C51:E51"/>
    <mergeCell ref="C48:E48"/>
    <mergeCell ref="C49:E49"/>
    <mergeCell ref="C52:E52"/>
    <mergeCell ref="C39:D39"/>
    <mergeCell ref="C42:D42"/>
    <mergeCell ref="C43:D43"/>
    <mergeCell ref="C44:D44"/>
    <mergeCell ref="B45:E45"/>
    <mergeCell ref="C47:E47"/>
    <mergeCell ref="C40:D40"/>
    <mergeCell ref="C41:D41"/>
  </mergeCells>
  <phoneticPr fontId="18" type="noConversion"/>
  <printOptions horizontalCentered="1"/>
  <pageMargins left="0.15748031496062992" right="0.23622047244094491" top="0.24" bottom="0.15748031496062992" header="0.23622047244094491" footer="0.15748031496062992"/>
  <pageSetup paperSize="9" firstPageNumber="0" orientation="portrait" verticalDpi="300" r:id="rId2"/>
  <headerFooter alignWithMargins="0"/>
  <ignoredErrors>
    <ignoredError sqref="C1:F1 F18 B3:F4 B7:F8 B2:F2 B10:F11 B9:C9 B12:E12 C6:F6 C5:F5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05"/>
  <sheetViews>
    <sheetView topLeftCell="A89" zoomScaleNormal="100" zoomScaleSheetLayoutView="100" workbookViewId="0">
      <selection activeCell="F24" sqref="F24"/>
    </sheetView>
  </sheetViews>
  <sheetFormatPr defaultColWidth="9.109375" defaultRowHeight="16.8" x14ac:dyDescent="0.4"/>
  <cols>
    <col min="1" max="1" width="2.6640625" style="13" customWidth="1"/>
    <col min="2" max="2" width="8.88671875" style="13" customWidth="1"/>
    <col min="3" max="3" width="52.5546875" style="19" customWidth="1"/>
    <col min="4" max="4" width="7.88671875" style="19" customWidth="1"/>
    <col min="5" max="5" width="13.5546875" style="19" customWidth="1"/>
    <col min="6" max="6" width="15.44140625" style="19" bestFit="1" customWidth="1"/>
    <col min="7" max="7" width="14.109375" style="13" bestFit="1" customWidth="1"/>
    <col min="8" max="8" width="11.33203125" style="13" bestFit="1" customWidth="1"/>
    <col min="9" max="9" width="10.109375" style="13" bestFit="1" customWidth="1"/>
    <col min="10" max="10" width="11.6640625" style="13" bestFit="1" customWidth="1"/>
    <col min="11" max="16384" width="9.109375" style="13"/>
  </cols>
  <sheetData>
    <row r="1" spans="2:6" ht="20.399999999999999" x14ac:dyDescent="0.45">
      <c r="B1" s="313" t="str">
        <f>RAMO</f>
        <v>RAMO: MINISTÉRIO PÚBLIC FEDERAL</v>
      </c>
      <c r="C1" s="314"/>
      <c r="D1" s="314"/>
      <c r="E1" s="314"/>
      <c r="F1" s="315"/>
    </row>
    <row r="2" spans="2:6" ht="20.399999999999999" x14ac:dyDescent="0.45">
      <c r="B2" s="316" t="str">
        <f>UG</f>
        <v>UNIDADE GESTORA (SIGLA): PR-PA</v>
      </c>
      <c r="C2" s="317"/>
      <c r="D2" s="318"/>
      <c r="E2" s="113" t="s">
        <v>57</v>
      </c>
      <c r="F2" s="114" t="str">
        <f>DATA_DO_ORCAMENTO_ESTIMATIVO</f>
        <v>XX/XX/20XX</v>
      </c>
    </row>
    <row r="3" spans="2:6" s="98" customFormat="1" ht="24.6" x14ac:dyDescent="0.55000000000000004">
      <c r="B3" s="281" t="s">
        <v>55</v>
      </c>
      <c r="C3" s="281"/>
      <c r="D3" s="281"/>
      <c r="E3" s="281"/>
      <c r="F3" s="281"/>
    </row>
    <row r="4" spans="2:6" s="98" customFormat="1" ht="15.9" customHeight="1" x14ac:dyDescent="0.4">
      <c r="B4" s="282" t="s">
        <v>97</v>
      </c>
      <c r="C4" s="282"/>
      <c r="D4" s="282"/>
      <c r="E4" s="282"/>
      <c r="F4" s="282"/>
    </row>
    <row r="5" spans="2:6" s="98" customFormat="1" ht="15.9" customHeight="1" x14ac:dyDescent="0.4">
      <c r="B5" s="285" t="s">
        <v>223</v>
      </c>
      <c r="C5" s="285"/>
      <c r="D5" s="319" t="str">
        <f>NUMERO_PROCESSO</f>
        <v>1.23.000.000855/2020-32</v>
      </c>
      <c r="E5" s="319"/>
      <c r="F5" s="319"/>
    </row>
    <row r="6" spans="2:6" s="98" customFormat="1" ht="15.75" customHeight="1" x14ac:dyDescent="0.4">
      <c r="B6" s="289" t="s">
        <v>224</v>
      </c>
      <c r="C6" s="289"/>
      <c r="D6" s="320" t="str">
        <f>MODALIDADE_DE_LICITACAO</f>
        <v>Pregão nº</v>
      </c>
      <c r="E6" s="320"/>
      <c r="F6" s="118" t="str">
        <f>NUMERO_PREGAO</f>
        <v>XX/20XX</v>
      </c>
    </row>
    <row r="7" spans="2:6" s="99" customFormat="1" ht="15.75" customHeight="1" x14ac:dyDescent="0.45">
      <c r="B7" s="321" t="s">
        <v>58</v>
      </c>
      <c r="C7" s="321"/>
      <c r="D7" s="321"/>
      <c r="E7" s="321"/>
      <c r="F7" s="321"/>
    </row>
    <row r="8" spans="2:6" s="98" customFormat="1" ht="18" customHeight="1" x14ac:dyDescent="0.4">
      <c r="B8" s="25" t="s">
        <v>2</v>
      </c>
      <c r="C8" s="285" t="s">
        <v>63</v>
      </c>
      <c r="D8" s="285"/>
      <c r="E8" s="285"/>
      <c r="F8" s="119" t="str">
        <f>DATA_APRESENTACAO_PROPOSTA</f>
        <v>XX/XX/20XX</v>
      </c>
    </row>
    <row r="9" spans="2:6" s="98" customFormat="1" ht="15.9" customHeight="1" x14ac:dyDescent="0.25">
      <c r="B9" s="1" t="s">
        <v>3</v>
      </c>
      <c r="C9" s="67" t="s">
        <v>36</v>
      </c>
      <c r="D9" s="311" t="str">
        <f>IF(LOCAL_DE_EXECUCAO="","",LOCAL_DE_EXECUCAO)</f>
        <v>SEDE PR-PA / JF - Belém</v>
      </c>
      <c r="E9" s="311"/>
      <c r="F9" s="311"/>
    </row>
    <row r="10" spans="2:6" s="98" customFormat="1" ht="18.75" customHeight="1" x14ac:dyDescent="0.4">
      <c r="B10" s="25" t="s">
        <v>4</v>
      </c>
      <c r="C10" s="285" t="s">
        <v>37</v>
      </c>
      <c r="D10" s="285"/>
      <c r="E10" s="285"/>
      <c r="F10" s="120" t="str">
        <f>ACORDO_COLETIVO</f>
        <v>CCT 2020/2021</v>
      </c>
    </row>
    <row r="11" spans="2:6" s="98" customFormat="1" ht="15.9" customHeight="1" x14ac:dyDescent="0.4">
      <c r="B11" s="1" t="s">
        <v>5</v>
      </c>
      <c r="C11" s="311" t="s">
        <v>64</v>
      </c>
      <c r="D11" s="311"/>
      <c r="E11" s="311"/>
      <c r="F11" s="121">
        <f>NUMERO_MESES_EXEC_CONTRATUAL</f>
        <v>12</v>
      </c>
    </row>
    <row r="12" spans="2:6" s="98" customFormat="1" x14ac:dyDescent="0.4">
      <c r="B12" s="1" t="s">
        <v>6</v>
      </c>
      <c r="C12" s="312" t="s">
        <v>85</v>
      </c>
      <c r="D12" s="312"/>
      <c r="E12" s="312"/>
      <c r="F12" s="102">
        <v>7</v>
      </c>
    </row>
    <row r="13" spans="2:6" s="127" customFormat="1" ht="21" customHeight="1" x14ac:dyDescent="0.25">
      <c r="B13" s="125" t="s">
        <v>205</v>
      </c>
      <c r="C13" s="126"/>
      <c r="D13" s="126"/>
      <c r="E13" s="126"/>
      <c r="F13" s="126"/>
    </row>
    <row r="14" spans="2:6" s="98" customFormat="1" x14ac:dyDescent="0.4">
      <c r="B14" s="25">
        <v>1</v>
      </c>
      <c r="C14" s="243" t="s">
        <v>60</v>
      </c>
      <c r="D14" s="243"/>
      <c r="E14" s="247" t="str">
        <f>TIPO_DE_SERVICO</f>
        <v>Vigilância</v>
      </c>
      <c r="F14" s="247"/>
    </row>
    <row r="15" spans="2:6" s="99" customFormat="1" x14ac:dyDescent="0.4">
      <c r="B15" s="25">
        <v>2</v>
      </c>
      <c r="C15" s="27" t="s">
        <v>59</v>
      </c>
      <c r="D15" s="246" t="str">
        <f>CBO</f>
        <v>5173-30</v>
      </c>
      <c r="E15" s="246"/>
      <c r="F15" s="246"/>
    </row>
    <row r="16" spans="2:6" s="98" customFormat="1" ht="15" customHeight="1" x14ac:dyDescent="0.4">
      <c r="B16" s="25">
        <v>3</v>
      </c>
      <c r="C16" s="56" t="s">
        <v>61</v>
      </c>
      <c r="D16" s="247" t="str">
        <f>CATEGORIA_PROFISSIONAL</f>
        <v>Vigilante</v>
      </c>
      <c r="E16" s="247"/>
      <c r="F16" s="247"/>
    </row>
    <row r="17" spans="2:10" s="98" customFormat="1" ht="15" customHeight="1" x14ac:dyDescent="0.4">
      <c r="B17" s="25">
        <v>4</v>
      </c>
      <c r="C17" s="248" t="s">
        <v>62</v>
      </c>
      <c r="D17" s="248"/>
      <c r="E17" s="248"/>
      <c r="F17" s="135">
        <f>DATA_BASE_CATEGORIA</f>
        <v>43831</v>
      </c>
    </row>
    <row r="18" spans="2:10" s="124" customFormat="1" ht="30" customHeight="1" x14ac:dyDescent="0.4">
      <c r="B18" s="322" t="s">
        <v>40</v>
      </c>
      <c r="C18" s="322"/>
      <c r="D18" s="322"/>
      <c r="E18" s="322"/>
      <c r="F18" s="322"/>
    </row>
    <row r="19" spans="2:10" x14ac:dyDescent="0.4">
      <c r="B19" s="260" t="s">
        <v>52</v>
      </c>
      <c r="C19" s="260"/>
      <c r="D19" s="260"/>
      <c r="E19" s="260"/>
      <c r="F19" s="117">
        <v>2</v>
      </c>
    </row>
    <row r="20" spans="2:10" x14ac:dyDescent="0.4">
      <c r="B20" s="51" t="s">
        <v>8</v>
      </c>
      <c r="E20" s="14"/>
      <c r="F20" s="14"/>
    </row>
    <row r="21" spans="2:10" x14ac:dyDescent="0.4">
      <c r="B21" s="1">
        <v>1</v>
      </c>
      <c r="C21" s="250" t="s">
        <v>9</v>
      </c>
      <c r="D21" s="250"/>
      <c r="E21" s="250"/>
      <c r="F21" s="4" t="s">
        <v>13</v>
      </c>
    </row>
    <row r="22" spans="2:10" x14ac:dyDescent="0.4">
      <c r="B22" s="1" t="s">
        <v>2</v>
      </c>
      <c r="C22" s="249" t="s">
        <v>92</v>
      </c>
      <c r="D22" s="249"/>
      <c r="E22" s="249"/>
      <c r="F22" s="57">
        <f>SALARIO_BASE</f>
        <v>1401.07</v>
      </c>
      <c r="G22" s="221"/>
      <c r="H22" s="221"/>
      <c r="I22" s="221"/>
      <c r="J22" s="233"/>
    </row>
    <row r="23" spans="2:10" x14ac:dyDescent="0.4">
      <c r="B23" s="1" t="s">
        <v>3</v>
      </c>
      <c r="C23" s="300" t="s">
        <v>94</v>
      </c>
      <c r="D23" s="300"/>
      <c r="E23" s="300"/>
      <c r="F23" s="10">
        <f>PERC_ADIC_PERIC%*SALARIO_BASE</f>
        <v>420.32</v>
      </c>
      <c r="H23" s="233"/>
    </row>
    <row r="24" spans="2:10" ht="15.75" customHeight="1" x14ac:dyDescent="0.4">
      <c r="B24" s="1" t="s">
        <v>4</v>
      </c>
      <c r="C24" s="331" t="s">
        <v>83</v>
      </c>
      <c r="D24" s="331"/>
      <c r="E24" s="331"/>
      <c r="F24" s="236">
        <f>7*15.2*0.2*((AL_1_A_SAL_BASE_12X36_NOT+AL_1_B_ADIC_PERIC_12X36_NOT)/220)</f>
        <v>176.18</v>
      </c>
      <c r="G24" s="221"/>
      <c r="H24" s="233"/>
    </row>
    <row r="25" spans="2:10" ht="15.75" customHeight="1" x14ac:dyDescent="0.4">
      <c r="B25" s="1" t="s">
        <v>5</v>
      </c>
      <c r="C25" s="300" t="s">
        <v>87</v>
      </c>
      <c r="D25" s="300"/>
      <c r="E25" s="300"/>
      <c r="F25" s="237">
        <f>((AL_1_A_SAL_BASE_12X36_NOT+AL_1_B_ADIC_PERIC_12X36_NOT)/DIVISOR_DE_HORAS)*((HORA_NORMAL-HORA_NOTURNA)/HORA_NOTURNA)*DIAS_NA_SEMANA*MEDIA_ANUAL_DIAS_TRABALHO_MES*1.2*1.5</f>
        <v>226.51</v>
      </c>
      <c r="G25" s="221"/>
    </row>
    <row r="26" spans="2:10" x14ac:dyDescent="0.4">
      <c r="B26" s="1" t="s">
        <v>6</v>
      </c>
      <c r="C26" s="275" t="str">
        <f>OUTROS_REMUNERACAO_1_DESCRICAO</f>
        <v>DSR - Adicional noturno - 1/6</v>
      </c>
      <c r="D26" s="276"/>
      <c r="E26" s="277"/>
      <c r="F26" s="57">
        <f>1/6*AL_1_C_ADIC_NOT_12X36_NOT</f>
        <v>29.36</v>
      </c>
    </row>
    <row r="27" spans="2:10" x14ac:dyDescent="0.4">
      <c r="B27" s="1" t="s">
        <v>7</v>
      </c>
      <c r="C27" s="305" t="str">
        <f>OUTROS_REMUNERACAO_2_DESCRICAO</f>
        <v>DSR - Hora noturna reduzida - 1/6</v>
      </c>
      <c r="D27" s="306"/>
      <c r="E27" s="307"/>
      <c r="F27" s="10">
        <f>1/6*AL_1_D_ADIC_NOT_RED_12X36_NOT</f>
        <v>37.75</v>
      </c>
      <c r="G27" s="221"/>
      <c r="H27" s="233"/>
    </row>
    <row r="28" spans="2:10" x14ac:dyDescent="0.4">
      <c r="B28" s="329" t="s">
        <v>46</v>
      </c>
      <c r="C28" s="329"/>
      <c r="D28" s="329"/>
      <c r="E28" s="329"/>
      <c r="F28" s="40">
        <f>SUM(F22:F27)</f>
        <v>2291.19</v>
      </c>
    </row>
    <row r="29" spans="2:10" x14ac:dyDescent="0.4">
      <c r="B29" s="51" t="s">
        <v>65</v>
      </c>
      <c r="E29" s="21"/>
      <c r="F29" s="21"/>
    </row>
    <row r="30" spans="2:10" x14ac:dyDescent="0.4">
      <c r="B30" s="51" t="s">
        <v>110</v>
      </c>
      <c r="C30" s="12"/>
      <c r="D30" s="22"/>
      <c r="E30" s="20"/>
      <c r="F30" s="20"/>
    </row>
    <row r="31" spans="2:10" x14ac:dyDescent="0.4">
      <c r="B31" s="1" t="s">
        <v>66</v>
      </c>
      <c r="C31" s="260" t="s">
        <v>93</v>
      </c>
      <c r="D31" s="260"/>
      <c r="E31" s="4" t="s">
        <v>1</v>
      </c>
      <c r="F31" s="4" t="s">
        <v>13</v>
      </c>
    </row>
    <row r="32" spans="2:10" x14ac:dyDescent="0.4">
      <c r="B32" s="1" t="s">
        <v>2</v>
      </c>
      <c r="C32" s="298" t="s">
        <v>47</v>
      </c>
      <c r="D32" s="298"/>
      <c r="E32" s="59">
        <f>PERC_DEC_TERC</f>
        <v>8.33</v>
      </c>
      <c r="F32" s="58">
        <f>PERC_DEC_TERC%*MOD_1_REMUNERACAO_12X36_NOT</f>
        <v>190.86</v>
      </c>
    </row>
    <row r="33" spans="2:9" s="17" customFormat="1" x14ac:dyDescent="0.4">
      <c r="B33" s="2" t="s">
        <v>3</v>
      </c>
      <c r="C33" s="300" t="s">
        <v>95</v>
      </c>
      <c r="D33" s="300"/>
      <c r="E33" s="38">
        <f>PERC_ADIC_FERIAS</f>
        <v>2.78</v>
      </c>
      <c r="F33" s="36">
        <f>PERC_ADIC_FERIAS%*MOD_1_REMUNERACAO_12X36_NOT</f>
        <v>63.7</v>
      </c>
    </row>
    <row r="34" spans="2:9" s="107" customFormat="1" x14ac:dyDescent="0.4">
      <c r="B34" s="268" t="s">
        <v>46</v>
      </c>
      <c r="C34" s="269"/>
      <c r="D34" s="269"/>
      <c r="E34" s="270"/>
      <c r="F34" s="41">
        <f>SUM(F32:F33)</f>
        <v>254.56</v>
      </c>
    </row>
    <row r="35" spans="2:9" s="107" customFormat="1" ht="31.5" customHeight="1" x14ac:dyDescent="0.4">
      <c r="B35" s="330" t="s">
        <v>68</v>
      </c>
      <c r="C35" s="330"/>
      <c r="D35" s="330"/>
      <c r="E35" s="330"/>
      <c r="F35" s="330"/>
    </row>
    <row r="36" spans="2:9" s="107" customFormat="1" ht="34.5" customHeight="1" x14ac:dyDescent="0.4">
      <c r="B36" s="1" t="s">
        <v>69</v>
      </c>
      <c r="C36" s="304" t="s">
        <v>96</v>
      </c>
      <c r="D36" s="304"/>
      <c r="E36" s="4" t="s">
        <v>1</v>
      </c>
      <c r="F36" s="4" t="s">
        <v>13</v>
      </c>
    </row>
    <row r="37" spans="2:9" x14ac:dyDescent="0.4">
      <c r="B37" s="1" t="s">
        <v>2</v>
      </c>
      <c r="C37" s="298" t="s">
        <v>41</v>
      </c>
      <c r="D37" s="298"/>
      <c r="E37" s="59">
        <f>PERC_INSS</f>
        <v>20</v>
      </c>
      <c r="F37" s="58">
        <f>PERC_INSS%*(MOD_1_REMUNERACAO_12X36_NOT+SUBMOD_2_1_DEC_TERC_ADIC_FERIAS_12X36_NOT)</f>
        <v>509.15</v>
      </c>
    </row>
    <row r="38" spans="2:9" s="98" customFormat="1" x14ac:dyDescent="0.25">
      <c r="B38" s="2" t="s">
        <v>3</v>
      </c>
      <c r="C38" s="300" t="s">
        <v>43</v>
      </c>
      <c r="D38" s="300"/>
      <c r="E38" s="46">
        <f>PERC_SAL_EDUCACAO</f>
        <v>2.5</v>
      </c>
      <c r="F38" s="36">
        <f>PERC_SAL_EDUCACAO%*(MOD_1_REMUNERACAO_12X36_NOT+SUBMOD_2_1_DEC_TERC_ADIC_FERIAS_12X36_NOT)</f>
        <v>63.64</v>
      </c>
    </row>
    <row r="39" spans="2:9" s="98" customFormat="1" x14ac:dyDescent="0.25">
      <c r="B39" s="2" t="s">
        <v>4</v>
      </c>
      <c r="C39" s="275" t="s">
        <v>236</v>
      </c>
      <c r="D39" s="276"/>
      <c r="E39" s="59">
        <f>PERC_RAT</f>
        <v>6</v>
      </c>
      <c r="F39" s="58">
        <f>PERC_RAT%*(MOD_1_REMUNERACAO_12X36_NOT+SUBMOD_2_1_DEC_TERC_ADIC_FERIAS_12X36_NOT)</f>
        <v>152.75</v>
      </c>
    </row>
    <row r="40" spans="2:9" s="98" customFormat="1" x14ac:dyDescent="0.25">
      <c r="B40" s="2" t="s">
        <v>5</v>
      </c>
      <c r="C40" s="300" t="s">
        <v>88</v>
      </c>
      <c r="D40" s="300"/>
      <c r="E40" s="38">
        <f>PERC_SESC</f>
        <v>1.5</v>
      </c>
      <c r="F40" s="36">
        <f>PERC_SESC%*(MOD_1_REMUNERACAO_12X36_NOT+SUBMOD_2_1_DEC_TERC_ADIC_FERIAS_12X36_NOT)</f>
        <v>38.19</v>
      </c>
      <c r="I40" s="143"/>
    </row>
    <row r="41" spans="2:9" s="98" customFormat="1" x14ac:dyDescent="0.25">
      <c r="B41" s="2" t="s">
        <v>6</v>
      </c>
      <c r="C41" s="298" t="s">
        <v>89</v>
      </c>
      <c r="D41" s="298"/>
      <c r="E41" s="59">
        <f>PERC_SENAC</f>
        <v>1</v>
      </c>
      <c r="F41" s="58">
        <f>PERC_SENAC%*(MOD_1_REMUNERACAO_12X36_NOT+SUBMOD_2_1_DEC_TERC_ADIC_FERIAS_12X36_NOT)</f>
        <v>25.46</v>
      </c>
    </row>
    <row r="42" spans="2:9" s="99" customFormat="1" x14ac:dyDescent="0.25">
      <c r="B42" s="2" t="s">
        <v>7</v>
      </c>
      <c r="C42" s="300" t="s">
        <v>45</v>
      </c>
      <c r="D42" s="300"/>
      <c r="E42" s="46">
        <f>PERC_SEBRAE</f>
        <v>0.6</v>
      </c>
      <c r="F42" s="36">
        <f>PERC_SEBRAE%*(MOD_1_REMUNERACAO_12X36_NOT+SUBMOD_2_1_DEC_TERC_ADIC_FERIAS_12X36_NOT)</f>
        <v>15.27</v>
      </c>
    </row>
    <row r="43" spans="2:9" s="99" customFormat="1" x14ac:dyDescent="0.25">
      <c r="B43" s="2" t="s">
        <v>10</v>
      </c>
      <c r="C43" s="298" t="s">
        <v>42</v>
      </c>
      <c r="D43" s="298"/>
      <c r="E43" s="59">
        <f>PERC_INCRA</f>
        <v>0.2</v>
      </c>
      <c r="F43" s="58">
        <f>PERC_INCRA%*(MOD_1_REMUNERACAO_12X36_NOT+SUBMOD_2_1_DEC_TERC_ADIC_FERIAS_12X36_NOT)</f>
        <v>5.09</v>
      </c>
    </row>
    <row r="44" spans="2:9" x14ac:dyDescent="0.4">
      <c r="B44" s="2" t="s">
        <v>11</v>
      </c>
      <c r="C44" s="300" t="s">
        <v>44</v>
      </c>
      <c r="D44" s="300"/>
      <c r="E44" s="46">
        <f>PERC_FGTS</f>
        <v>8</v>
      </c>
      <c r="F44" s="36">
        <f>PERC_FGTS%*(MOD_1_REMUNERACAO_12X36_NOT+SUBMOD_2_1_DEC_TERC_ADIC_FERIAS_12X36_NOT)</f>
        <v>203.66</v>
      </c>
    </row>
    <row r="45" spans="2:9" x14ac:dyDescent="0.4">
      <c r="B45" s="268" t="s">
        <v>46</v>
      </c>
      <c r="C45" s="269"/>
      <c r="D45" s="269"/>
      <c r="E45" s="270"/>
      <c r="F45" s="42">
        <f>SUM(F37:F44)</f>
        <v>1013.21</v>
      </c>
    </row>
    <row r="46" spans="2:9" ht="15.75" customHeight="1" x14ac:dyDescent="0.4">
      <c r="B46" s="51" t="s">
        <v>71</v>
      </c>
      <c r="C46" s="99"/>
      <c r="D46" s="99"/>
      <c r="E46" s="99"/>
      <c r="F46" s="99"/>
    </row>
    <row r="47" spans="2:9" ht="15.75" customHeight="1" x14ac:dyDescent="0.4">
      <c r="B47" s="1" t="s">
        <v>90</v>
      </c>
      <c r="C47" s="250" t="s">
        <v>14</v>
      </c>
      <c r="D47" s="250"/>
      <c r="E47" s="250"/>
      <c r="F47" s="4" t="s">
        <v>13</v>
      </c>
    </row>
    <row r="48" spans="2:9" x14ac:dyDescent="0.4">
      <c r="B48" s="25" t="s">
        <v>2</v>
      </c>
      <c r="C48" s="298" t="s">
        <v>15</v>
      </c>
      <c r="D48" s="298"/>
      <c r="E48" s="298"/>
      <c r="F48" s="58">
        <f>IF(((TRANSPORTE_POR_DIA*DIAS_TRABALHADOS_NO_MES_12X36)-(PERC_DESC_TRANSP_REMUNERACAO%*(AL_1_A_SAL_BASE_12X36_NOT/2)))&gt;0,((TRANSPORTE_POR_DIA*DIAS_TRABALHADOS_NO_MES_12X36)-(PERC_DESC_TRANSP_REMUNERACAO%*(AL_1_A_SAL_BASE_12X36_NOT/2))),0)</f>
        <v>65.97</v>
      </c>
    </row>
    <row r="49" spans="2:7" s="107" customFormat="1" x14ac:dyDescent="0.4">
      <c r="B49" s="25" t="s">
        <v>3</v>
      </c>
      <c r="C49" s="300" t="s">
        <v>70</v>
      </c>
      <c r="D49" s="300"/>
      <c r="E49" s="300"/>
      <c r="F49" s="36">
        <f>ALIMENTACAO_POR_DIA*DIAS_TRABALHADOS_NO_MES_12X36*0.99</f>
        <v>386.1</v>
      </c>
      <c r="G49" s="13"/>
    </row>
    <row r="50" spans="2:7" s="107" customFormat="1" x14ac:dyDescent="0.4">
      <c r="B50" s="25" t="s">
        <v>4</v>
      </c>
      <c r="C50" s="275" t="str">
        <f>OUTROS_BENEFICIOS_1_DESCRICAO</f>
        <v>Auxílio saúde</v>
      </c>
      <c r="D50" s="276"/>
      <c r="E50" s="277"/>
      <c r="F50" s="58"/>
      <c r="G50" s="13"/>
    </row>
    <row r="51" spans="2:7" s="107" customFormat="1" x14ac:dyDescent="0.4">
      <c r="B51" s="25" t="s">
        <v>5</v>
      </c>
      <c r="C51" s="305" t="str">
        <f>OUTROS_BENEFICIOS_2_DESCRICAO</f>
        <v>Auxílio morte/funeral</v>
      </c>
      <c r="D51" s="306"/>
      <c r="E51" s="307"/>
      <c r="F51" s="36"/>
      <c r="G51" s="13"/>
    </row>
    <row r="52" spans="2:7" s="107" customFormat="1" x14ac:dyDescent="0.4">
      <c r="B52" s="25" t="s">
        <v>6</v>
      </c>
      <c r="C52" s="275" t="str">
        <f>OUTROS_BENEFICIOS_3_DESCRICAO</f>
        <v>Seguro de vida</v>
      </c>
      <c r="D52" s="276"/>
      <c r="E52" s="277"/>
      <c r="F52" s="58"/>
    </row>
    <row r="53" spans="2:7" s="107" customFormat="1" ht="15" customHeight="1" x14ac:dyDescent="0.4">
      <c r="B53" s="329" t="s">
        <v>46</v>
      </c>
      <c r="C53" s="329"/>
      <c r="D53" s="329"/>
      <c r="E53" s="329"/>
      <c r="F53" s="40">
        <f>SUM(F48:F52)</f>
        <v>452.07</v>
      </c>
    </row>
    <row r="54" spans="2:7" s="107" customFormat="1" x14ac:dyDescent="0.4">
      <c r="B54" s="51" t="s">
        <v>72</v>
      </c>
      <c r="C54" s="12"/>
      <c r="D54" s="22"/>
      <c r="E54" s="20"/>
      <c r="F54" s="20"/>
    </row>
    <row r="55" spans="2:7" s="107" customFormat="1" ht="15" customHeight="1" x14ac:dyDescent="0.4">
      <c r="B55" s="1">
        <v>3</v>
      </c>
      <c r="C55" s="260" t="s">
        <v>48</v>
      </c>
      <c r="D55" s="260"/>
      <c r="E55" s="4" t="s">
        <v>1</v>
      </c>
      <c r="F55" s="4" t="s">
        <v>13</v>
      </c>
    </row>
    <row r="56" spans="2:7" s="107" customFormat="1" x14ac:dyDescent="0.4">
      <c r="B56" s="1" t="s">
        <v>2</v>
      </c>
      <c r="C56" s="301" t="s">
        <v>49</v>
      </c>
      <c r="D56" s="301"/>
      <c r="E56" s="59">
        <f>PERC_AVISO_PREVIO_IND</f>
        <v>0.28999999999999998</v>
      </c>
      <c r="F56" s="58">
        <f>PERC_AVISO_PREVIO_IND%*(MOD_1_REMUNERACAO_12X36_NOT+SUBMOD_2_1_DEC_TERC_ADIC_FERIAS_12X36_NOT+AL_2_2_FGTS_12X36_NOT+SUBMOD_2_3_BENEFICIOS_12X36_NOT)</f>
        <v>9.2799999999999994</v>
      </c>
    </row>
    <row r="57" spans="2:7" s="107" customFormat="1" x14ac:dyDescent="0.4">
      <c r="B57" s="2" t="s">
        <v>3</v>
      </c>
      <c r="C57" s="303" t="s">
        <v>50</v>
      </c>
      <c r="D57" s="303"/>
      <c r="E57" s="46">
        <f>PERC_AVISO_PREVIO_TRAB</f>
        <v>1.1599999999999999</v>
      </c>
      <c r="F57" s="36">
        <f>PERC_AVISO_PREVIO_TRAB%*(MOD_1_REMUNERACAO_12X36_NOT+SUBMOD_2_1_DEC_TERC_ADIC_FERIAS_12X36_NOT+SUBMOD_2_2_GPS_FGTS_12X36_NOT+SUBMOD_2_3_BENEFICIOS_12X36_NOT)</f>
        <v>46.53</v>
      </c>
    </row>
    <row r="58" spans="2:7" s="98" customFormat="1" x14ac:dyDescent="0.25">
      <c r="B58" s="2" t="s">
        <v>4</v>
      </c>
      <c r="C58" s="301" t="s">
        <v>232</v>
      </c>
      <c r="D58" s="301"/>
      <c r="E58" s="59">
        <f>PERC_MULTA_FGTS_AV_PREV_TRAB</f>
        <v>0.04</v>
      </c>
      <c r="F58" s="58">
        <f>PERC_MULTA_FGTS_AV_PREV_TRAB%*(MOD_1_REMUNERACAO_12X36_NOT+SUBMOD_2_1_DEC_TERC_ADIC_FERIAS_12X36_NOT)</f>
        <v>1.02</v>
      </c>
    </row>
    <row r="59" spans="2:7" s="98" customFormat="1" x14ac:dyDescent="0.4">
      <c r="B59" s="268" t="s">
        <v>46</v>
      </c>
      <c r="C59" s="269"/>
      <c r="D59" s="269"/>
      <c r="E59" s="270"/>
      <c r="F59" s="41">
        <f>SUM(F56:F58)</f>
        <v>56.83</v>
      </c>
    </row>
    <row r="60" spans="2:7" ht="7.5" customHeight="1" x14ac:dyDescent="0.4">
      <c r="B60" s="16"/>
      <c r="C60" s="17"/>
      <c r="D60" s="18"/>
      <c r="E60" s="14"/>
      <c r="F60" s="14"/>
    </row>
    <row r="61" spans="2:7" s="98" customFormat="1" ht="15.9" customHeight="1" x14ac:dyDescent="0.4">
      <c r="B61" s="51" t="s">
        <v>73</v>
      </c>
      <c r="C61" s="12"/>
      <c r="D61" s="22"/>
      <c r="E61" s="13"/>
      <c r="F61" s="13"/>
    </row>
    <row r="62" spans="2:7" s="98" customFormat="1" ht="15.9" customHeight="1" x14ac:dyDescent="0.4">
      <c r="B62" s="51" t="s">
        <v>102</v>
      </c>
      <c r="C62" s="12"/>
      <c r="D62" s="22"/>
      <c r="E62" s="20"/>
      <c r="F62" s="20"/>
    </row>
    <row r="63" spans="2:7" s="98" customFormat="1" x14ac:dyDescent="0.25">
      <c r="B63" s="1" t="s">
        <v>18</v>
      </c>
      <c r="C63" s="302" t="s">
        <v>103</v>
      </c>
      <c r="D63" s="302"/>
      <c r="E63" s="4" t="s">
        <v>1</v>
      </c>
      <c r="F63" s="4" t="s">
        <v>13</v>
      </c>
    </row>
    <row r="64" spans="2:7" s="98" customFormat="1" ht="15.9" customHeight="1" x14ac:dyDescent="0.25">
      <c r="B64" s="2" t="s">
        <v>2</v>
      </c>
      <c r="C64" s="298" t="s">
        <v>104</v>
      </c>
      <c r="D64" s="298"/>
      <c r="E64" s="59">
        <f>PERC_SUBSTITUTO_FERIAS</f>
        <v>8.33</v>
      </c>
      <c r="F64" s="58">
        <f>PERC_SUBSTITUTO_FERIAS%*(MOD_1_REMUNERACAO_12X36_NOT+MOD_2_ENCARGOS_BENEFICIOS_12X36_NOT+MOD_3_PROVISAO_RESCISAO_12X36_NOT)</f>
        <v>338.85</v>
      </c>
    </row>
    <row r="65" spans="2:7" s="98" customFormat="1" ht="15.9" customHeight="1" x14ac:dyDescent="0.25">
      <c r="B65" s="2" t="s">
        <v>3</v>
      </c>
      <c r="C65" s="300" t="s">
        <v>105</v>
      </c>
      <c r="D65" s="300"/>
      <c r="E65" s="46">
        <f>PERC_SUBSTITUTO_AUSENCIAS_LEGAIS</f>
        <v>2.2200000000000002</v>
      </c>
      <c r="F65" s="36">
        <f>PERC_SUBSTITUTO_AUSENCIAS_LEGAIS%*(MOD_1_REMUNERACAO_12X36_NOT+MOD_2_ENCARGOS_BENEFICIOS_12X36_NOT+MOD_3_PROVISAO_RESCISAO_12X36_NOT)</f>
        <v>90.31</v>
      </c>
    </row>
    <row r="66" spans="2:7" s="98" customFormat="1" ht="15.9" customHeight="1" x14ac:dyDescent="0.25">
      <c r="B66" s="2" t="s">
        <v>4</v>
      </c>
      <c r="C66" s="298" t="s">
        <v>106</v>
      </c>
      <c r="D66" s="298"/>
      <c r="E66" s="59">
        <f>PERC_SUBSTITUTO_LICENCA_PATERNIDADE</f>
        <v>7.0000000000000007E-2</v>
      </c>
      <c r="F66" s="58">
        <f>PERC_SUBSTITUTO_LICENCA_PATERNIDADE%*(MOD_1_REMUNERACAO_12X36_NOT+MOD_2_ENCARGOS_BENEFICIOS_12X36_NOT+MOD_3_PROVISAO_RESCISAO_12X36_NOT)</f>
        <v>2.85</v>
      </c>
    </row>
    <row r="67" spans="2:7" s="98" customFormat="1" x14ac:dyDescent="0.25">
      <c r="B67" s="2" t="s">
        <v>5</v>
      </c>
      <c r="C67" s="300" t="s">
        <v>107</v>
      </c>
      <c r="D67" s="300"/>
      <c r="E67" s="46">
        <f>PERC_SUBSTITUTO_ACID_TRAB</f>
        <v>0.02</v>
      </c>
      <c r="F67" s="36">
        <f>PERC_SUBSTITUTO_ACID_TRAB%*(MOD_1_REMUNERACAO_12X36_NOT+MOD_2_ENCARGOS_BENEFICIOS_12X36_NOT+MOD_3_PROVISAO_RESCISAO_12X36_NOT)</f>
        <v>0.81</v>
      </c>
    </row>
    <row r="68" spans="2:7" s="98" customFormat="1" x14ac:dyDescent="0.25">
      <c r="B68" s="2" t="s">
        <v>6</v>
      </c>
      <c r="C68" s="298" t="s">
        <v>108</v>
      </c>
      <c r="D68" s="298"/>
      <c r="E68" s="59">
        <f>PERC_SUBSTITUTO_AFAST_MATERN</f>
        <v>0.04</v>
      </c>
      <c r="F68" s="58">
        <f>PERC_SUBSTITUTO_AFAST_MATERN%*(MOD_1_REMUNERACAO_12X36_NOT+MOD_2_ENCARGOS_BENEFICIOS_12X36_NOT+MOD_3_PROVISAO_RESCISAO_12X36_NOT)</f>
        <v>1.63</v>
      </c>
    </row>
    <row r="69" spans="2:7" s="98" customFormat="1" x14ac:dyDescent="0.25">
      <c r="B69" s="2" t="s">
        <v>7</v>
      </c>
      <c r="C69" s="325" t="str">
        <f>OUTRAS_AUSENCIAS_DESCRICAO</f>
        <v>Outras Ausências (Especificar - em %)</v>
      </c>
      <c r="D69" s="300"/>
      <c r="E69" s="53">
        <f>PERC_SUBSTITUTO_OUTRAS_AUSENCIAS</f>
        <v>0</v>
      </c>
      <c r="F69" s="36">
        <f>PERC_SUBSTITUTO_OUTRAS_AUSENCIAS%*(MOD_1_REMUNERACAO_12X36_NOT+MOD_2_ENCARGOS_BENEFICIOS_12X36_NOT+MOD_3_PROVISAO_RESCISAO_12X36_NOT)</f>
        <v>0</v>
      </c>
    </row>
    <row r="70" spans="2:7" s="98" customFormat="1" x14ac:dyDescent="0.4">
      <c r="B70" s="268" t="s">
        <v>46</v>
      </c>
      <c r="C70" s="269"/>
      <c r="D70" s="269"/>
      <c r="E70" s="270"/>
      <c r="F70" s="41">
        <f>SUM(F64:F69)</f>
        <v>434.45</v>
      </c>
    </row>
    <row r="71" spans="2:7" s="98" customFormat="1" ht="15" customHeight="1" x14ac:dyDescent="0.4">
      <c r="B71" s="51" t="s">
        <v>226</v>
      </c>
      <c r="C71" s="12"/>
      <c r="D71" s="22"/>
      <c r="E71" s="20"/>
      <c r="F71" s="20"/>
    </row>
    <row r="72" spans="2:7" s="98" customFormat="1" x14ac:dyDescent="0.25">
      <c r="B72" s="1" t="s">
        <v>19</v>
      </c>
      <c r="C72" s="260" t="s">
        <v>225</v>
      </c>
      <c r="D72" s="260"/>
      <c r="E72" s="260"/>
      <c r="F72" s="4" t="s">
        <v>13</v>
      </c>
    </row>
    <row r="73" spans="2:7" s="98" customFormat="1" x14ac:dyDescent="0.25">
      <c r="B73" s="1" t="s">
        <v>2</v>
      </c>
      <c r="C73" s="298" t="s">
        <v>109</v>
      </c>
      <c r="D73" s="298"/>
      <c r="E73" s="298"/>
      <c r="F73" s="57">
        <f>((MOD_1_REMUNERACAO_12X36_NOT+MOD_2_ENCARGOS_BENEFICIOS_12X36_NOT+MOD_3_PROVISAO_RESCISAO_12X36_NOT)/DIVISOR_DE_HORAS)*((TEMPO_INTERVALO_REFEICAO/HORA_NORMAL))*DIAS_TRABALHADOS_NO_MES_12X36</f>
        <v>277.35000000000002</v>
      </c>
      <c r="G73" s="141"/>
    </row>
    <row r="74" spans="2:7" s="98" customFormat="1" x14ac:dyDescent="0.4">
      <c r="B74" s="260" t="s">
        <v>46</v>
      </c>
      <c r="C74" s="260"/>
      <c r="D74" s="260"/>
      <c r="E74" s="260"/>
      <c r="F74" s="41">
        <f>SUM(F73:F73)</f>
        <v>277.35000000000002</v>
      </c>
    </row>
    <row r="75" spans="2:7" ht="24.6" x14ac:dyDescent="0.4">
      <c r="B75" s="16"/>
      <c r="C75" s="17"/>
      <c r="D75" s="18"/>
      <c r="E75" s="14"/>
      <c r="F75" s="14"/>
    </row>
    <row r="76" spans="2:7" x14ac:dyDescent="0.4">
      <c r="B76" s="51" t="s">
        <v>77</v>
      </c>
      <c r="C76" s="12"/>
      <c r="D76" s="12"/>
      <c r="E76" s="20"/>
      <c r="F76" s="20"/>
    </row>
    <row r="77" spans="2:7" ht="15.75" customHeight="1" x14ac:dyDescent="0.4">
      <c r="B77" s="49">
        <v>5</v>
      </c>
      <c r="C77" s="271" t="s">
        <v>0</v>
      </c>
      <c r="D77" s="271"/>
      <c r="E77" s="271"/>
      <c r="F77" s="50" t="s">
        <v>13</v>
      </c>
    </row>
    <row r="78" spans="2:7" x14ac:dyDescent="0.4">
      <c r="B78" s="44" t="s">
        <v>2</v>
      </c>
      <c r="C78" s="272" t="s">
        <v>16</v>
      </c>
      <c r="D78" s="272"/>
      <c r="E78" s="272"/>
      <c r="F78" s="60">
        <f>[1]Uniforme!$F$19</f>
        <v>244.71</v>
      </c>
    </row>
    <row r="79" spans="2:7" x14ac:dyDescent="0.4">
      <c r="B79" s="44" t="s">
        <v>3</v>
      </c>
      <c r="C79" s="273" t="s">
        <v>285</v>
      </c>
      <c r="D79" s="273"/>
      <c r="E79" s="273"/>
      <c r="F79" s="47">
        <f>'[1]Equipamentos - material'!$H$24</f>
        <v>77.400000000000006</v>
      </c>
    </row>
    <row r="80" spans="2:7" x14ac:dyDescent="0.4">
      <c r="B80" s="44" t="s">
        <v>4</v>
      </c>
      <c r="C80" s="272" t="s">
        <v>286</v>
      </c>
      <c r="D80" s="272"/>
      <c r="E80" s="272"/>
      <c r="F80" s="60">
        <f>'[1]Equipamentos - material'!$H$7</f>
        <v>8.09</v>
      </c>
    </row>
    <row r="81" spans="2:6" x14ac:dyDescent="0.4">
      <c r="B81" s="44" t="s">
        <v>5</v>
      </c>
      <c r="C81" s="324" t="str">
        <f>OUTROS_INSUMOS_DESCRICAO</f>
        <v>Outros (Especificar)</v>
      </c>
      <c r="D81" s="273"/>
      <c r="E81" s="273"/>
      <c r="F81" s="47">
        <f>OUTROS_INSUMOS</f>
        <v>0</v>
      </c>
    </row>
    <row r="82" spans="2:6" x14ac:dyDescent="0.4">
      <c r="B82" s="328" t="s">
        <v>46</v>
      </c>
      <c r="C82" s="328"/>
      <c r="D82" s="328"/>
      <c r="E82" s="328"/>
      <c r="F82" s="43">
        <f>SUM(F78:F81)</f>
        <v>330.2</v>
      </c>
    </row>
    <row r="83" spans="2:6" ht="7.5" customHeight="1" x14ac:dyDescent="0.4">
      <c r="B83" s="16"/>
      <c r="C83" s="17"/>
      <c r="D83" s="18"/>
      <c r="E83" s="14"/>
      <c r="F83" s="14"/>
    </row>
    <row r="84" spans="2:6" ht="15" customHeight="1" x14ac:dyDescent="0.4">
      <c r="B84" s="264" t="s">
        <v>76</v>
      </c>
      <c r="C84" s="264"/>
      <c r="D84" s="264"/>
      <c r="E84" s="264"/>
      <c r="F84" s="264"/>
    </row>
    <row r="85" spans="2:6" x14ac:dyDescent="0.4">
      <c r="B85" s="1">
        <v>6</v>
      </c>
      <c r="C85" s="260" t="s">
        <v>20</v>
      </c>
      <c r="D85" s="260"/>
      <c r="E85" s="4" t="s">
        <v>1</v>
      </c>
      <c r="F85" s="4" t="s">
        <v>13</v>
      </c>
    </row>
    <row r="86" spans="2:6" x14ac:dyDescent="0.4">
      <c r="B86" s="1" t="s">
        <v>2</v>
      </c>
      <c r="C86" s="298" t="s">
        <v>78</v>
      </c>
      <c r="D86" s="298"/>
      <c r="E86" s="61">
        <f>PERC_CUSTOS_INDIRETOS</f>
        <v>4.8499999999999996</v>
      </c>
      <c r="F86" s="58">
        <f>PERC_CUSTOS_INDIRETOS%*(MOD_1_REMUNERACAO_12X36_NOT+MOD_2_ENCARGOS_BENEFICIOS_12X36_NOT+MOD_3_PROVISAO_RESCISAO_12X36_NOT+MOD_4_CUSTO_REPOSICAO_12X36_NOT+MOD_5_INSUMOS_12X36_NOT)</f>
        <v>247.83</v>
      </c>
    </row>
    <row r="87" spans="2:6" ht="15.75" customHeight="1" x14ac:dyDescent="0.4">
      <c r="B87" s="2" t="s">
        <v>3</v>
      </c>
      <c r="C87" s="300" t="s">
        <v>32</v>
      </c>
      <c r="D87" s="300"/>
      <c r="E87" s="48">
        <f>PERC_LUCRO</f>
        <v>5.45</v>
      </c>
      <c r="F87" s="36">
        <f>PERC_LUCRO%*(MOD_1_REMUNERACAO_12X36_NOT+MOD_2_ENCARGOS_BENEFICIOS_12X36_NOT+MOD_3_PROVISAO_RESCISAO_12X36_NOT+MOD_4_CUSTO_REPOSICAO_12X36_NOT+MOD_5_INSUMOS_12X36_NOT+AL_6_A_CUSTOS_INDIRETOS_12X36_NOT)</f>
        <v>291.99</v>
      </c>
    </row>
    <row r="88" spans="2:6" x14ac:dyDescent="0.4">
      <c r="B88" s="2" t="s">
        <v>4</v>
      </c>
      <c r="C88" s="298" t="s">
        <v>21</v>
      </c>
      <c r="D88" s="298"/>
      <c r="E88" s="61">
        <f>SUM(E89:E91)</f>
        <v>8.65</v>
      </c>
      <c r="F88" s="58">
        <f>SUM(F89:F91)</f>
        <v>534.97</v>
      </c>
    </row>
    <row r="89" spans="2:6" ht="15.75" customHeight="1" x14ac:dyDescent="0.4">
      <c r="B89" s="30" t="s">
        <v>79</v>
      </c>
      <c r="C89" s="326" t="s">
        <v>23</v>
      </c>
      <c r="D89" s="326"/>
      <c r="E89" s="31">
        <f>PERC_PIS</f>
        <v>0.65</v>
      </c>
      <c r="F89" s="63">
        <f>((MOD_1_REMUNERACAO_12X36_NOT+MOD_2_ENCARGOS_BENEFICIOS_12X36_NOT+MOD_3_PROVISAO_RESCISAO_12X36_NOT+MOD_4_CUSTO_REPOSICAO_12X36_NOT+MOD_5_INSUMOS_12X36_NOT+AL_6_A_CUSTOS_INDIRETOS_12X36_NOT+AL_6_B_LUCRO_12X36_NOT)*PERC_PIS%)/(1-PERC_TRIBUTOS%)</f>
        <v>40.200000000000003</v>
      </c>
    </row>
    <row r="90" spans="2:6" x14ac:dyDescent="0.4">
      <c r="B90" s="30" t="s">
        <v>80</v>
      </c>
      <c r="C90" s="327" t="s">
        <v>24</v>
      </c>
      <c r="D90" s="327"/>
      <c r="E90" s="62">
        <f>PERC_COFINS</f>
        <v>3</v>
      </c>
      <c r="F90" s="64">
        <f>((MOD_1_REMUNERACAO_12X36_NOT+MOD_2_ENCARGOS_BENEFICIOS_12X36_NOT+MOD_3_PROVISAO_RESCISAO_12X36_NOT+MOD_4_CUSTO_REPOSICAO_12X36_NOT+MOD_5_INSUMOS_12X36_NOT+AL_6_A_CUSTOS_INDIRETOS_12X36_NOT+AL_6_B_LUCRO_12X36_NOT)*PERC_COFINS%)/(1-PERC_TRIBUTOS%)</f>
        <v>185.54</v>
      </c>
    </row>
    <row r="91" spans="2:6" s="108" customFormat="1" x14ac:dyDescent="0.4">
      <c r="B91" s="30" t="s">
        <v>81</v>
      </c>
      <c r="C91" s="326" t="s">
        <v>25</v>
      </c>
      <c r="D91" s="326"/>
      <c r="E91" s="31">
        <f>PERC_ISS</f>
        <v>5</v>
      </c>
      <c r="F91" s="63">
        <f>((MOD_1_REMUNERACAO_12X36_NOT+MOD_2_ENCARGOS_BENEFICIOS_12X36_NOT+MOD_3_PROVISAO_RESCISAO_12X36_NOT+MOD_4_CUSTO_REPOSICAO_12X36_NOT+MOD_5_INSUMOS_12X36_NOT+AL_6_A_CUSTOS_INDIRETOS_12X36_NOT+AL_6_B_LUCRO_12X36_NOT)*PERC_ISS%)/(1-PERC_TRIBUTOS%)</f>
        <v>309.23</v>
      </c>
    </row>
    <row r="92" spans="2:6" s="108" customFormat="1" x14ac:dyDescent="0.4">
      <c r="B92" s="268" t="s">
        <v>46</v>
      </c>
      <c r="C92" s="269"/>
      <c r="D92" s="269"/>
      <c r="E92" s="270"/>
      <c r="F92" s="37">
        <f>AL_6_A_CUSTOS_INDIRETOS_12X36_NOT+AL_6_B_LUCRO_12X36_NOT+AL_6_C_TRIBUTOS_12X36_NOT</f>
        <v>1074.79</v>
      </c>
    </row>
    <row r="93" spans="2:6" s="108" customFormat="1" x14ac:dyDescent="0.4">
      <c r="B93" s="264" t="s">
        <v>261</v>
      </c>
      <c r="C93" s="264"/>
      <c r="D93" s="264"/>
      <c r="E93" s="264"/>
      <c r="F93" s="264"/>
    </row>
    <row r="94" spans="2:6" s="108" customFormat="1" x14ac:dyDescent="0.4">
      <c r="B94" s="147" t="s">
        <v>2</v>
      </c>
      <c r="C94" s="275" t="str">
        <f>'INSERÇÃO-DE-DADOS'!C86:E86</f>
        <v>Dia do Vigilante - Clausula 82ª CCT - Jornada 12x36 noturno</v>
      </c>
      <c r="D94" s="276"/>
      <c r="E94" s="277"/>
      <c r="F94" s="57">
        <f>'INSERÇÃO-DE-DADOS'!F86</f>
        <v>11.69</v>
      </c>
    </row>
    <row r="95" spans="2:6" s="108" customFormat="1" ht="20.399999999999999" x14ac:dyDescent="0.4">
      <c r="B95" s="52" t="s">
        <v>53</v>
      </c>
      <c r="C95" s="15"/>
      <c r="D95" s="15"/>
      <c r="E95" s="15"/>
      <c r="F95" s="23"/>
    </row>
    <row r="96" spans="2:6" s="109" customFormat="1" ht="16.5" customHeight="1" x14ac:dyDescent="0.4">
      <c r="B96" s="2" t="s">
        <v>98</v>
      </c>
      <c r="C96" s="257" t="s">
        <v>99</v>
      </c>
      <c r="D96" s="258"/>
      <c r="E96" s="259"/>
      <c r="F96" s="4" t="s">
        <v>17</v>
      </c>
    </row>
    <row r="97" spans="2:6" s="108" customFormat="1" x14ac:dyDescent="0.4">
      <c r="B97" s="1">
        <v>1</v>
      </c>
      <c r="C97" s="298" t="s">
        <v>9</v>
      </c>
      <c r="D97" s="298"/>
      <c r="E97" s="298"/>
      <c r="F97" s="58">
        <f>MOD_1_REMUNERACAO_12X36_NOT</f>
        <v>2291.19</v>
      </c>
    </row>
    <row r="98" spans="2:6" s="110" customFormat="1" ht="16.5" customHeight="1" x14ac:dyDescent="0.4">
      <c r="B98" s="2">
        <v>2</v>
      </c>
      <c r="C98" s="300" t="s">
        <v>100</v>
      </c>
      <c r="D98" s="300"/>
      <c r="E98" s="300"/>
      <c r="F98" s="36">
        <f>MOD_2_ENCARGOS_BENEFICIOS_12X36_NOT</f>
        <v>1719.84</v>
      </c>
    </row>
    <row r="99" spans="2:6" s="110" customFormat="1" x14ac:dyDescent="0.4">
      <c r="B99" s="2">
        <v>3</v>
      </c>
      <c r="C99" s="298" t="s">
        <v>48</v>
      </c>
      <c r="D99" s="298"/>
      <c r="E99" s="298"/>
      <c r="F99" s="58">
        <f>MOD_3_PROVISAO_RESCISAO_12X36_NOT</f>
        <v>56.83</v>
      </c>
    </row>
    <row r="100" spans="2:6" s="110" customFormat="1" x14ac:dyDescent="0.4">
      <c r="B100" s="2">
        <v>4</v>
      </c>
      <c r="C100" s="300" t="s">
        <v>51</v>
      </c>
      <c r="D100" s="300"/>
      <c r="E100" s="300"/>
      <c r="F100" s="36">
        <f>MOD_4_CUSTO_REPOSICAO_12X36_NOT</f>
        <v>711.8</v>
      </c>
    </row>
    <row r="101" spans="2:6" s="110" customFormat="1" x14ac:dyDescent="0.4">
      <c r="B101" s="2">
        <v>5</v>
      </c>
      <c r="C101" s="298" t="s">
        <v>0</v>
      </c>
      <c r="D101" s="298"/>
      <c r="E101" s="298"/>
      <c r="F101" s="58">
        <f>MOD_5_INSUMOS_12X36_NOT</f>
        <v>330.2</v>
      </c>
    </row>
    <row r="102" spans="2:6" s="110" customFormat="1" x14ac:dyDescent="0.4">
      <c r="B102" s="2">
        <v>6</v>
      </c>
      <c r="C102" s="300" t="s">
        <v>20</v>
      </c>
      <c r="D102" s="300"/>
      <c r="E102" s="300"/>
      <c r="F102" s="36">
        <f>MOD_6_CUSTOS_IND_LUCRO_TRIB_12X36_NOT</f>
        <v>1074.79</v>
      </c>
    </row>
    <row r="103" spans="2:6" s="110" customFormat="1" x14ac:dyDescent="0.4">
      <c r="B103" s="148">
        <v>7</v>
      </c>
      <c r="C103" s="275" t="str">
        <f>C94</f>
        <v>Dia do Vigilante - Clausula 82ª CCT - Jornada 12x36 noturno</v>
      </c>
      <c r="D103" s="276"/>
      <c r="E103" s="277"/>
      <c r="F103" s="57">
        <f>F94</f>
        <v>11.69</v>
      </c>
    </row>
    <row r="104" spans="2:6" ht="16.5" customHeight="1" x14ac:dyDescent="0.4">
      <c r="B104" s="302" t="s">
        <v>101</v>
      </c>
      <c r="C104" s="302"/>
      <c r="D104" s="302"/>
      <c r="E104" s="302"/>
      <c r="F104" s="37">
        <f>SUM(F97:F103)</f>
        <v>6196.34</v>
      </c>
    </row>
    <row r="105" spans="2:6" ht="16.5" customHeight="1" x14ac:dyDescent="0.4">
      <c r="B105" s="302" t="s">
        <v>30</v>
      </c>
      <c r="C105" s="302"/>
      <c r="D105" s="302"/>
      <c r="E105" s="302"/>
      <c r="F105" s="37">
        <f>VALOR_TOTAL_EMPREGADO_12x36_NOT*EMPREG_POR_POSTO_12X36_NOT</f>
        <v>12392.68</v>
      </c>
    </row>
  </sheetData>
  <customSheetViews>
    <customSheetView guid="{E22B0E03-E710-4313-B9E5-0BFE52A7E677}" showPageBreaks="1" view="pageBreakPreview">
      <selection activeCell="B1" sqref="B1:F1"/>
      <pageMargins left="0.08" right="0.05" top="0.19685039370078741" bottom="0.15748031496062992" header="0.19685039370078741" footer="0.15748031496062992"/>
      <printOptions horizontalCentered="1"/>
      <pageSetup paperSize="9" orientation="portrait" r:id="rId1"/>
    </customSheetView>
  </customSheetViews>
  <mergeCells count="94">
    <mergeCell ref="B1:F1"/>
    <mergeCell ref="B2:D2"/>
    <mergeCell ref="C91:D91"/>
    <mergeCell ref="C102:E102"/>
    <mergeCell ref="C78:E78"/>
    <mergeCell ref="C79:E79"/>
    <mergeCell ref="B82:E82"/>
    <mergeCell ref="C90:D90"/>
    <mergeCell ref="C86:D86"/>
    <mergeCell ref="C58:D58"/>
    <mergeCell ref="C55:D55"/>
    <mergeCell ref="C65:D65"/>
    <mergeCell ref="C64:D64"/>
    <mergeCell ref="C63:D63"/>
    <mergeCell ref="C66:D66"/>
    <mergeCell ref="B3:F3"/>
    <mergeCell ref="B4:F4"/>
    <mergeCell ref="B19:E19"/>
    <mergeCell ref="B5:C5"/>
    <mergeCell ref="D5:F5"/>
    <mergeCell ref="B6:C6"/>
    <mergeCell ref="B18:F18"/>
    <mergeCell ref="D6:E6"/>
    <mergeCell ref="B7:F7"/>
    <mergeCell ref="D9:F9"/>
    <mergeCell ref="C8:E8"/>
    <mergeCell ref="C14:D14"/>
    <mergeCell ref="C10:E10"/>
    <mergeCell ref="C12:E12"/>
    <mergeCell ref="E14:F14"/>
    <mergeCell ref="C17:E17"/>
    <mergeCell ref="C11:E11"/>
    <mergeCell ref="D16:F16"/>
    <mergeCell ref="C21:E21"/>
    <mergeCell ref="C22:E22"/>
    <mergeCell ref="C24:E24"/>
    <mergeCell ref="C23:E23"/>
    <mergeCell ref="D15:F15"/>
    <mergeCell ref="B105:E105"/>
    <mergeCell ref="C100:E100"/>
    <mergeCell ref="C96:E96"/>
    <mergeCell ref="B84:F84"/>
    <mergeCell ref="C85:D85"/>
    <mergeCell ref="B104:E104"/>
    <mergeCell ref="C99:E99"/>
    <mergeCell ref="C89:D89"/>
    <mergeCell ref="C87:D87"/>
    <mergeCell ref="B92:E92"/>
    <mergeCell ref="C101:E101"/>
    <mergeCell ref="C98:E98"/>
    <mergeCell ref="C88:D88"/>
    <mergeCell ref="B93:F93"/>
    <mergeCell ref="C94:E94"/>
    <mergeCell ref="C103:E103"/>
    <mergeCell ref="C38:D38"/>
    <mergeCell ref="C41:D41"/>
    <mergeCell ref="C39:D39"/>
    <mergeCell ref="B59:E59"/>
    <mergeCell ref="C97:E97"/>
    <mergeCell ref="C80:E80"/>
    <mergeCell ref="C81:E81"/>
    <mergeCell ref="C49:E49"/>
    <mergeCell ref="C44:D44"/>
    <mergeCell ref="B45:E45"/>
    <mergeCell ref="C48:E48"/>
    <mergeCell ref="C72:E72"/>
    <mergeCell ref="C73:E73"/>
    <mergeCell ref="B74:E74"/>
    <mergeCell ref="C77:E77"/>
    <mergeCell ref="B53:E53"/>
    <mergeCell ref="B70:E70"/>
    <mergeCell ref="C67:D67"/>
    <mergeCell ref="C40:D40"/>
    <mergeCell ref="C47:E47"/>
    <mergeCell ref="C42:D42"/>
    <mergeCell ref="C43:D43"/>
    <mergeCell ref="C56:D56"/>
    <mergeCell ref="C69:D69"/>
    <mergeCell ref="C57:D57"/>
    <mergeCell ref="C50:E50"/>
    <mergeCell ref="C51:E51"/>
    <mergeCell ref="C52:E52"/>
    <mergeCell ref="C68:D68"/>
    <mergeCell ref="C25:E25"/>
    <mergeCell ref="C32:D32"/>
    <mergeCell ref="B34:E34"/>
    <mergeCell ref="C37:D37"/>
    <mergeCell ref="C26:E26"/>
    <mergeCell ref="C27:E27"/>
    <mergeCell ref="B28:E28"/>
    <mergeCell ref="C31:D31"/>
    <mergeCell ref="C33:D33"/>
    <mergeCell ref="B35:F35"/>
    <mergeCell ref="C36:D36"/>
  </mergeCells>
  <printOptions horizontalCentered="1"/>
  <pageMargins left="0.08" right="0.05" top="0.19685039370078741" bottom="0.15748031496062992" header="0.19685039370078741" footer="0.15748031496062992"/>
  <pageSetup paperSize="9" orientation="portrait" r:id="rId2"/>
  <ignoredErrors>
    <ignoredError sqref="B1:F1 B14:F15 B3:F4 B7:F8 B2:F2 B10:F11 B9:C9 C16:F17 B12:E12 D5:F6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9"/>
  <sheetViews>
    <sheetView topLeftCell="A72" zoomScaleNormal="100" zoomScaleSheetLayoutView="100" workbookViewId="0">
      <selection activeCell="F76" sqref="F76"/>
    </sheetView>
  </sheetViews>
  <sheetFormatPr defaultColWidth="9.109375" defaultRowHeight="16.8" x14ac:dyDescent="0.4"/>
  <cols>
    <col min="1" max="1" width="2.6640625" style="13" customWidth="1"/>
    <col min="2" max="2" width="8.6640625" style="13" customWidth="1"/>
    <col min="3" max="3" width="52.5546875" style="19" customWidth="1"/>
    <col min="4" max="4" width="7.88671875" style="19" customWidth="1"/>
    <col min="5" max="5" width="13.5546875" style="19" customWidth="1"/>
    <col min="6" max="6" width="15.44140625" style="19" bestFit="1" customWidth="1"/>
    <col min="7" max="16384" width="9.109375" style="13"/>
  </cols>
  <sheetData>
    <row r="1" spans="2:6" ht="20.399999999999999" x14ac:dyDescent="0.45">
      <c r="B1" s="313" t="str">
        <f>RAMO</f>
        <v>RAMO: MINISTÉRIO PÚBLIC FEDERAL</v>
      </c>
      <c r="C1" s="314"/>
      <c r="D1" s="314"/>
      <c r="E1" s="314"/>
      <c r="F1" s="315"/>
    </row>
    <row r="2" spans="2:6" ht="20.399999999999999" x14ac:dyDescent="0.45">
      <c r="B2" s="316" t="str">
        <f>UG</f>
        <v>UNIDADE GESTORA (SIGLA): PR-PA</v>
      </c>
      <c r="C2" s="317"/>
      <c r="D2" s="318"/>
      <c r="E2" s="113" t="s">
        <v>57</v>
      </c>
      <c r="F2" s="114" t="str">
        <f>DATA_DO_ORCAMENTO_ESTIMATIVO</f>
        <v>XX/XX/20XX</v>
      </c>
    </row>
    <row r="3" spans="2:6" s="98" customFormat="1" ht="24.6" x14ac:dyDescent="0.55000000000000004">
      <c r="B3" s="281" t="s">
        <v>56</v>
      </c>
      <c r="C3" s="281"/>
      <c r="D3" s="281"/>
      <c r="E3" s="281"/>
      <c r="F3" s="281"/>
    </row>
    <row r="4" spans="2:6" s="98" customFormat="1" ht="15.9" customHeight="1" x14ac:dyDescent="0.4">
      <c r="B4" s="282" t="s">
        <v>97</v>
      </c>
      <c r="C4" s="282"/>
      <c r="D4" s="282"/>
      <c r="E4" s="282"/>
      <c r="F4" s="282"/>
    </row>
    <row r="5" spans="2:6" s="98" customFormat="1" ht="15.9" customHeight="1" x14ac:dyDescent="0.4">
      <c r="B5" s="285" t="s">
        <v>223</v>
      </c>
      <c r="C5" s="285"/>
      <c r="D5" s="319" t="str">
        <f>NUMERO_PROCESSO</f>
        <v>1.23.000.000855/2020-32</v>
      </c>
      <c r="E5" s="319"/>
      <c r="F5" s="319"/>
    </row>
    <row r="6" spans="2:6" s="98" customFormat="1" ht="15.75" customHeight="1" x14ac:dyDescent="0.4">
      <c r="B6" s="289" t="s">
        <v>224</v>
      </c>
      <c r="C6" s="289"/>
      <c r="D6" s="320" t="str">
        <f>MODALIDADE_DE_LICITACAO</f>
        <v>Pregão nº</v>
      </c>
      <c r="E6" s="320"/>
      <c r="F6" s="118" t="str">
        <f>NUMERO_PREGAO</f>
        <v>XX/20XX</v>
      </c>
    </row>
    <row r="7" spans="2:6" s="99" customFormat="1" ht="15.75" customHeight="1" x14ac:dyDescent="0.45">
      <c r="B7" s="321" t="s">
        <v>58</v>
      </c>
      <c r="C7" s="321"/>
      <c r="D7" s="321"/>
      <c r="E7" s="321"/>
      <c r="F7" s="321"/>
    </row>
    <row r="8" spans="2:6" s="98" customFormat="1" ht="18" customHeight="1" x14ac:dyDescent="0.4">
      <c r="B8" s="25" t="s">
        <v>2</v>
      </c>
      <c r="C8" s="285" t="s">
        <v>63</v>
      </c>
      <c r="D8" s="285"/>
      <c r="E8" s="285"/>
      <c r="F8" s="119" t="str">
        <f>DATA_APRESENTACAO_PROPOSTA</f>
        <v>XX/XX/20XX</v>
      </c>
    </row>
    <row r="9" spans="2:6" s="98" customFormat="1" ht="15.9" customHeight="1" x14ac:dyDescent="0.25">
      <c r="B9" s="1" t="s">
        <v>3</v>
      </c>
      <c r="C9" s="67" t="s">
        <v>36</v>
      </c>
      <c r="D9" s="311" t="str">
        <f>IF(LOCAL_DE_EXECUCAO="","",LOCAL_DE_EXECUCAO)</f>
        <v>SEDE PR-PA / JF - Belém</v>
      </c>
      <c r="E9" s="311"/>
      <c r="F9" s="311"/>
    </row>
    <row r="10" spans="2:6" s="98" customFormat="1" ht="18.75" customHeight="1" x14ac:dyDescent="0.4">
      <c r="B10" s="25" t="s">
        <v>4</v>
      </c>
      <c r="C10" s="285" t="s">
        <v>37</v>
      </c>
      <c r="D10" s="285"/>
      <c r="E10" s="285"/>
      <c r="F10" s="120" t="str">
        <f>ACORDO_COLETIVO</f>
        <v>CCT 2020/2021</v>
      </c>
    </row>
    <row r="11" spans="2:6" s="98" customFormat="1" ht="15.9" customHeight="1" x14ac:dyDescent="0.4">
      <c r="B11" s="1" t="s">
        <v>5</v>
      </c>
      <c r="C11" s="311" t="s">
        <v>64</v>
      </c>
      <c r="D11" s="311"/>
      <c r="E11" s="311"/>
      <c r="F11" s="121">
        <f>NUMERO_MESES_EXEC_CONTRATUAL</f>
        <v>12</v>
      </c>
    </row>
    <row r="12" spans="2:6" s="98" customFormat="1" x14ac:dyDescent="0.4">
      <c r="B12" s="1" t="s">
        <v>6</v>
      </c>
      <c r="C12" s="312" t="s">
        <v>85</v>
      </c>
      <c r="D12" s="312"/>
      <c r="E12" s="312"/>
      <c r="F12" s="102">
        <v>5</v>
      </c>
    </row>
    <row r="13" spans="2:6" s="98" customFormat="1" ht="7.5" customHeight="1" x14ac:dyDescent="0.4">
      <c r="B13" s="122"/>
      <c r="C13" s="123"/>
      <c r="D13" s="123"/>
      <c r="E13" s="123"/>
      <c r="F13" s="104"/>
    </row>
    <row r="14" spans="2:6" s="98" customFormat="1" ht="21" customHeight="1" x14ac:dyDescent="0.55000000000000004">
      <c r="B14" s="106" t="s">
        <v>205</v>
      </c>
      <c r="C14" s="13"/>
      <c r="D14" s="13"/>
      <c r="E14" s="13"/>
      <c r="F14" s="13"/>
    </row>
    <row r="15" spans="2:6" s="98" customFormat="1" x14ac:dyDescent="0.4">
      <c r="B15" s="25">
        <v>1</v>
      </c>
      <c r="C15" s="343" t="s">
        <v>60</v>
      </c>
      <c r="D15" s="344"/>
      <c r="E15" s="340" t="str">
        <f>TIPO_DE_SERVICO</f>
        <v>Vigilância</v>
      </c>
      <c r="F15" s="342"/>
    </row>
    <row r="16" spans="2:6" s="99" customFormat="1" x14ac:dyDescent="0.4">
      <c r="B16" s="25">
        <v>2</v>
      </c>
      <c r="C16" s="27" t="s">
        <v>59</v>
      </c>
      <c r="D16" s="334" t="str">
        <f>CBO</f>
        <v>5173-30</v>
      </c>
      <c r="E16" s="335"/>
      <c r="F16" s="336"/>
    </row>
    <row r="17" spans="2:6" s="98" customFormat="1" ht="15" customHeight="1" x14ac:dyDescent="0.4">
      <c r="B17" s="25">
        <v>3</v>
      </c>
      <c r="C17" s="56" t="s">
        <v>61</v>
      </c>
      <c r="D17" s="340" t="str">
        <f>CATEGORIA_PROFISSIONAL</f>
        <v>Vigilante</v>
      </c>
      <c r="E17" s="341"/>
      <c r="F17" s="342"/>
    </row>
    <row r="18" spans="2:6" s="98" customFormat="1" ht="15" customHeight="1" x14ac:dyDescent="0.4">
      <c r="B18" s="25">
        <v>4</v>
      </c>
      <c r="C18" s="337" t="s">
        <v>62</v>
      </c>
      <c r="D18" s="338"/>
      <c r="E18" s="339"/>
      <c r="F18" s="135">
        <f>DATA_BASE_CATEGORIA</f>
        <v>43831</v>
      </c>
    </row>
    <row r="19" spans="2:6" s="98" customFormat="1" ht="15" customHeight="1" x14ac:dyDescent="0.4">
      <c r="B19" s="28"/>
      <c r="C19" s="29"/>
      <c r="D19" s="29"/>
      <c r="E19" s="29"/>
      <c r="F19" s="105"/>
    </row>
    <row r="20" spans="2:6" s="124" customFormat="1" ht="30" customHeight="1" x14ac:dyDescent="0.4">
      <c r="B20" s="322" t="s">
        <v>40</v>
      </c>
      <c r="C20" s="322"/>
      <c r="D20" s="322"/>
      <c r="E20" s="322"/>
      <c r="F20" s="322"/>
    </row>
    <row r="21" spans="2:6" x14ac:dyDescent="0.4">
      <c r="B21" s="260" t="s">
        <v>52</v>
      </c>
      <c r="C21" s="260"/>
      <c r="D21" s="260"/>
      <c r="E21" s="260"/>
      <c r="F21" s="117">
        <v>1</v>
      </c>
    </row>
    <row r="22" spans="2:6" x14ac:dyDescent="0.4">
      <c r="B22" s="51" t="s">
        <v>8</v>
      </c>
      <c r="E22" s="14"/>
      <c r="F22" s="14"/>
    </row>
    <row r="23" spans="2:6" x14ac:dyDescent="0.4">
      <c r="B23" s="49">
        <v>1</v>
      </c>
      <c r="C23" s="271" t="s">
        <v>9</v>
      </c>
      <c r="D23" s="271"/>
      <c r="E23" s="271"/>
      <c r="F23" s="50" t="s">
        <v>13</v>
      </c>
    </row>
    <row r="24" spans="2:6" x14ac:dyDescent="0.4">
      <c r="B24" s="49" t="s">
        <v>2</v>
      </c>
      <c r="C24" s="332" t="s">
        <v>92</v>
      </c>
      <c r="D24" s="332"/>
      <c r="E24" s="332"/>
      <c r="F24" s="57">
        <f>SALARIO_BASE</f>
        <v>1401.07</v>
      </c>
    </row>
    <row r="25" spans="2:6" x14ac:dyDescent="0.4">
      <c r="B25" s="49" t="s">
        <v>3</v>
      </c>
      <c r="C25" s="273" t="s">
        <v>94</v>
      </c>
      <c r="D25" s="273"/>
      <c r="E25" s="273"/>
      <c r="F25" s="10">
        <f>PERC_ADIC_PERIC%*SALARIO_BASE</f>
        <v>420.32</v>
      </c>
    </row>
    <row r="26" spans="2:6" x14ac:dyDescent="0.4">
      <c r="B26" s="1" t="s">
        <v>4</v>
      </c>
      <c r="C26" s="275" t="str">
        <f>OUTROS_REMUNERACAO_1_DESCRICAO</f>
        <v>DSR - Adicional noturno - 1/6</v>
      </c>
      <c r="D26" s="276"/>
      <c r="E26" s="277"/>
      <c r="F26" s="57">
        <f>OUTROS_REMUNERACAO_1</f>
        <v>0</v>
      </c>
    </row>
    <row r="27" spans="2:6" x14ac:dyDescent="0.4">
      <c r="B27" s="1" t="s">
        <v>5</v>
      </c>
      <c r="C27" s="305" t="str">
        <f>OUTROS_REMUNERACAO_2_DESCRICAO</f>
        <v>DSR - Hora noturna reduzida - 1/6</v>
      </c>
      <c r="D27" s="306"/>
      <c r="E27" s="307"/>
      <c r="F27" s="10">
        <f>OUTROS_REMUNERACAO_2</f>
        <v>0</v>
      </c>
    </row>
    <row r="28" spans="2:6" x14ac:dyDescent="0.4">
      <c r="B28" s="328" t="s">
        <v>46</v>
      </c>
      <c r="C28" s="328"/>
      <c r="D28" s="328"/>
      <c r="E28" s="328"/>
      <c r="F28" s="43">
        <f>SUM(F24:F27)</f>
        <v>1821.39</v>
      </c>
    </row>
    <row r="29" spans="2:6" ht="10.5" customHeight="1" x14ac:dyDescent="0.4">
      <c r="B29" s="16"/>
      <c r="C29" s="17"/>
      <c r="D29" s="18"/>
      <c r="E29" s="14"/>
      <c r="F29" s="14"/>
    </row>
    <row r="30" spans="2:6" x14ac:dyDescent="0.4">
      <c r="B30" s="51" t="s">
        <v>65</v>
      </c>
      <c r="E30" s="21"/>
      <c r="F30" s="21"/>
    </row>
    <row r="31" spans="2:6" x14ac:dyDescent="0.4">
      <c r="B31" s="51" t="s">
        <v>67</v>
      </c>
      <c r="C31" s="12"/>
      <c r="D31" s="22"/>
      <c r="E31" s="20"/>
      <c r="F31" s="20"/>
    </row>
    <row r="32" spans="2:6" x14ac:dyDescent="0.4">
      <c r="B32" s="49" t="s">
        <v>66</v>
      </c>
      <c r="C32" s="333" t="s">
        <v>93</v>
      </c>
      <c r="D32" s="333"/>
      <c r="E32" s="50" t="s">
        <v>1</v>
      </c>
      <c r="F32" s="50" t="s">
        <v>13</v>
      </c>
    </row>
    <row r="33" spans="2:6" x14ac:dyDescent="0.4">
      <c r="B33" s="49" t="s">
        <v>2</v>
      </c>
      <c r="C33" s="272" t="s">
        <v>47</v>
      </c>
      <c r="D33" s="272"/>
      <c r="E33" s="65">
        <f>(1/12)*100</f>
        <v>8.33</v>
      </c>
      <c r="F33" s="58">
        <f>PERC_DEC_TERC%*MOD_1_REMUNERACAO_44H</f>
        <v>151.72</v>
      </c>
    </row>
    <row r="34" spans="2:6" s="17" customFormat="1" x14ac:dyDescent="0.4">
      <c r="B34" s="45" t="s">
        <v>3</v>
      </c>
      <c r="C34" s="251" t="s">
        <v>95</v>
      </c>
      <c r="D34" s="253"/>
      <c r="E34" s="54">
        <f>(1/3)/12*100</f>
        <v>2.78</v>
      </c>
      <c r="F34" s="36">
        <f>PERC_ADIC_FERIAS%*MOD_1_REMUNERACAO_44H</f>
        <v>50.63</v>
      </c>
    </row>
    <row r="35" spans="2:6" s="107" customFormat="1" x14ac:dyDescent="0.4">
      <c r="B35" s="345" t="s">
        <v>46</v>
      </c>
      <c r="C35" s="346"/>
      <c r="D35" s="346"/>
      <c r="E35" s="347"/>
      <c r="F35" s="41">
        <f>SUM(F33:F34)</f>
        <v>202.35</v>
      </c>
    </row>
    <row r="36" spans="2:6" s="107" customFormat="1" ht="31.5" customHeight="1" x14ac:dyDescent="0.4">
      <c r="B36" s="348" t="s">
        <v>68</v>
      </c>
      <c r="C36" s="348"/>
      <c r="D36" s="348"/>
      <c r="E36" s="348"/>
      <c r="F36" s="348"/>
    </row>
    <row r="37" spans="2:6" s="107" customFormat="1" ht="33.75" customHeight="1" x14ac:dyDescent="0.4">
      <c r="B37" s="49" t="s">
        <v>69</v>
      </c>
      <c r="C37" s="349" t="s">
        <v>96</v>
      </c>
      <c r="D37" s="349"/>
      <c r="E37" s="50" t="s">
        <v>1</v>
      </c>
      <c r="F37" s="50" t="s">
        <v>13</v>
      </c>
    </row>
    <row r="38" spans="2:6" x14ac:dyDescent="0.4">
      <c r="B38" s="49" t="s">
        <v>2</v>
      </c>
      <c r="C38" s="272" t="s">
        <v>41</v>
      </c>
      <c r="D38" s="272"/>
      <c r="E38" s="65">
        <v>20</v>
      </c>
      <c r="F38" s="58">
        <f>PERC_INSS%*(MOD_1_REMUNERACAO_44H+SUBMOD_2_1_DEC_TERC_ADIC_FERIAS_44H)</f>
        <v>404.75</v>
      </c>
    </row>
    <row r="39" spans="2:6" s="98" customFormat="1" x14ac:dyDescent="0.25">
      <c r="B39" s="45" t="s">
        <v>3</v>
      </c>
      <c r="C39" s="273" t="s">
        <v>43</v>
      </c>
      <c r="D39" s="273"/>
      <c r="E39" s="55">
        <v>2.5</v>
      </c>
      <c r="F39" s="36">
        <f>PERC_SAL_EDUCACAO%*(MOD_1_REMUNERACAO_44H+SUBMOD_2_1_DEC_TERC_ADIC_FERIAS_44H)</f>
        <v>50.59</v>
      </c>
    </row>
    <row r="40" spans="2:6" s="98" customFormat="1" x14ac:dyDescent="0.25">
      <c r="B40" s="45" t="s">
        <v>4</v>
      </c>
      <c r="C40" s="275" t="s">
        <v>236</v>
      </c>
      <c r="D40" s="276"/>
      <c r="E40" s="65">
        <v>3</v>
      </c>
      <c r="F40" s="58">
        <f>PERC_RAT%*(MOD_1_REMUNERACAO_44H+SUBMOD_2_1_DEC_TERC_ADIC_FERIAS_44H)</f>
        <v>121.42</v>
      </c>
    </row>
    <row r="41" spans="2:6" s="98" customFormat="1" x14ac:dyDescent="0.25">
      <c r="B41" s="45" t="s">
        <v>5</v>
      </c>
      <c r="C41" s="273" t="s">
        <v>88</v>
      </c>
      <c r="D41" s="273"/>
      <c r="E41" s="54">
        <v>1.5</v>
      </c>
      <c r="F41" s="36">
        <f>PERC_SESC%*(MOD_1_REMUNERACAO_44H+SUBMOD_2_1_DEC_TERC_ADIC_FERIAS_44H)</f>
        <v>30.36</v>
      </c>
    </row>
    <row r="42" spans="2:6" s="98" customFormat="1" x14ac:dyDescent="0.25">
      <c r="B42" s="45" t="s">
        <v>6</v>
      </c>
      <c r="C42" s="272" t="s">
        <v>89</v>
      </c>
      <c r="D42" s="272"/>
      <c r="E42" s="65">
        <v>1</v>
      </c>
      <c r="F42" s="58">
        <f>PERC_SENAC%*(MOD_1_REMUNERACAO_44H+SUBMOD_2_1_DEC_TERC_ADIC_FERIAS_44H)</f>
        <v>20.239999999999998</v>
      </c>
    </row>
    <row r="43" spans="2:6" s="99" customFormat="1" x14ac:dyDescent="0.25">
      <c r="B43" s="45" t="s">
        <v>7</v>
      </c>
      <c r="C43" s="273" t="s">
        <v>45</v>
      </c>
      <c r="D43" s="273"/>
      <c r="E43" s="55">
        <v>0.6</v>
      </c>
      <c r="F43" s="36">
        <f>PERC_SEBRAE%*(MOD_1_REMUNERACAO_44H+SUBMOD_2_1_DEC_TERC_ADIC_FERIAS_44H)</f>
        <v>12.14</v>
      </c>
    </row>
    <row r="44" spans="2:6" s="99" customFormat="1" x14ac:dyDescent="0.25">
      <c r="B44" s="45" t="s">
        <v>10</v>
      </c>
      <c r="C44" s="272" t="s">
        <v>42</v>
      </c>
      <c r="D44" s="272"/>
      <c r="E44" s="65">
        <v>0.2</v>
      </c>
      <c r="F44" s="58">
        <f>PERC_INCRA%*(MOD_1_REMUNERACAO_44H+SUBMOD_2_1_DEC_TERC_ADIC_FERIAS_44H)</f>
        <v>4.05</v>
      </c>
    </row>
    <row r="45" spans="2:6" x14ac:dyDescent="0.4">
      <c r="B45" s="45" t="s">
        <v>11</v>
      </c>
      <c r="C45" s="273" t="s">
        <v>44</v>
      </c>
      <c r="D45" s="273"/>
      <c r="E45" s="55">
        <v>8</v>
      </c>
      <c r="F45" s="36">
        <f>PERC_FGTS%*(MOD_1_REMUNERACAO_44H+SUBMOD_2_1_DEC_TERC_ADIC_FERIAS_44H)</f>
        <v>161.9</v>
      </c>
    </row>
    <row r="46" spans="2:6" x14ac:dyDescent="0.4">
      <c r="B46" s="345" t="s">
        <v>46</v>
      </c>
      <c r="C46" s="346"/>
      <c r="D46" s="346"/>
      <c r="E46" s="347"/>
      <c r="F46" s="42">
        <f>SUM(F38:F45)</f>
        <v>805.45</v>
      </c>
    </row>
    <row r="47" spans="2:6" ht="15.75" customHeight="1" x14ac:dyDescent="0.4">
      <c r="B47" s="51" t="s">
        <v>71</v>
      </c>
      <c r="C47" s="99"/>
      <c r="D47" s="99"/>
      <c r="E47" s="99"/>
      <c r="F47" s="99"/>
    </row>
    <row r="48" spans="2:6" ht="15.75" customHeight="1" x14ac:dyDescent="0.4">
      <c r="B48" s="49" t="s">
        <v>90</v>
      </c>
      <c r="C48" s="271" t="s">
        <v>14</v>
      </c>
      <c r="D48" s="271"/>
      <c r="E48" s="271"/>
      <c r="F48" s="50" t="s">
        <v>13</v>
      </c>
    </row>
    <row r="49" spans="2:7" x14ac:dyDescent="0.4">
      <c r="B49" s="44" t="s">
        <v>2</v>
      </c>
      <c r="C49" s="275" t="s">
        <v>15</v>
      </c>
      <c r="D49" s="276"/>
      <c r="E49" s="277"/>
      <c r="F49" s="58">
        <f>IF(((TRANSPORTE_POR_DIA*DIAS_UTEIS_TRABALHADOS_NO_MES_44HORAS)-(PERC_DESC_TRANSP_REMUNERACAO%*(SALARIO_BASE)))&gt;0,((TRANSPORTE_POR_DIA*DIAS_UTEIS_TRABALHADOS_NO_MES_44HORAS)-(PERC_DESC_TRANSP_REMUNERACAO%*(SALARIO_BASE))),0)</f>
        <v>74.34</v>
      </c>
    </row>
    <row r="50" spans="2:7" s="107" customFormat="1" x14ac:dyDescent="0.4">
      <c r="B50" s="44" t="s">
        <v>3</v>
      </c>
      <c r="C50" s="251" t="s">
        <v>70</v>
      </c>
      <c r="D50" s="252"/>
      <c r="E50" s="253"/>
      <c r="F50" s="36">
        <f>ALIMENTACAO_POR_DIA*DIAS_UTEIS_TRABALHADOS_NO_MES_44HORAS*0.99</f>
        <v>566.28</v>
      </c>
      <c r="G50" s="13" t="s">
        <v>238</v>
      </c>
    </row>
    <row r="51" spans="2:7" s="107" customFormat="1" x14ac:dyDescent="0.4">
      <c r="B51" s="25" t="s">
        <v>4</v>
      </c>
      <c r="C51" s="275" t="str">
        <f>OUTROS_BENEFICIOS_1_DESCRICAO</f>
        <v>Auxílio saúde</v>
      </c>
      <c r="D51" s="276"/>
      <c r="E51" s="277"/>
      <c r="F51" s="58"/>
      <c r="G51" s="13"/>
    </row>
    <row r="52" spans="2:7" s="107" customFormat="1" x14ac:dyDescent="0.4">
      <c r="B52" s="25" t="s">
        <v>5</v>
      </c>
      <c r="C52" s="305" t="str">
        <f>OUTROS_BENEFICIOS_2_DESCRICAO</f>
        <v>Auxílio morte/funeral</v>
      </c>
      <c r="D52" s="306"/>
      <c r="E52" s="307"/>
      <c r="F52" s="36"/>
      <c r="G52" s="13"/>
    </row>
    <row r="53" spans="2:7" s="107" customFormat="1" x14ac:dyDescent="0.4">
      <c r="B53" s="25" t="s">
        <v>6</v>
      </c>
      <c r="C53" s="275" t="str">
        <f>OUTROS_BENEFICIOS_3_DESCRICAO</f>
        <v>Seguro de vida</v>
      </c>
      <c r="D53" s="276"/>
      <c r="E53" s="277"/>
      <c r="F53" s="58"/>
    </row>
    <row r="54" spans="2:7" s="107" customFormat="1" ht="15" customHeight="1" x14ac:dyDescent="0.4">
      <c r="B54" s="328" t="s">
        <v>46</v>
      </c>
      <c r="C54" s="328"/>
      <c r="D54" s="328"/>
      <c r="E54" s="328"/>
      <c r="F54" s="43">
        <f>SUM(F49:F53)</f>
        <v>640.62</v>
      </c>
    </row>
    <row r="55" spans="2:7" ht="10.5" customHeight="1" x14ac:dyDescent="0.4">
      <c r="B55" s="16"/>
      <c r="C55" s="17"/>
      <c r="D55" s="18"/>
      <c r="E55" s="14"/>
      <c r="F55" s="14"/>
    </row>
    <row r="56" spans="2:7" s="107" customFormat="1" x14ac:dyDescent="0.4">
      <c r="B56" s="51" t="s">
        <v>72</v>
      </c>
      <c r="C56" s="12"/>
      <c r="D56" s="22"/>
      <c r="E56" s="20"/>
      <c r="F56" s="20"/>
    </row>
    <row r="57" spans="2:7" s="107" customFormat="1" ht="15" customHeight="1" x14ac:dyDescent="0.4">
      <c r="B57" s="1">
        <v>3</v>
      </c>
      <c r="C57" s="260" t="s">
        <v>48</v>
      </c>
      <c r="D57" s="260"/>
      <c r="E57" s="4" t="s">
        <v>1</v>
      </c>
      <c r="F57" s="4" t="s">
        <v>13</v>
      </c>
    </row>
    <row r="58" spans="2:7" s="107" customFormat="1" x14ac:dyDescent="0.4">
      <c r="B58" s="1" t="s">
        <v>2</v>
      </c>
      <c r="C58" s="301" t="s">
        <v>49</v>
      </c>
      <c r="D58" s="301"/>
      <c r="E58" s="59">
        <f>PERC_AVISO_PREVIO_IND</f>
        <v>0.28999999999999998</v>
      </c>
      <c r="F58" s="58">
        <f>PERC_AVISO_PREVIO_IND%*(MOD_1_REMUNERACAO_44H+SUBMOD_2_1_DEC_TERC_ADIC_FERIAS_44H+AL_2_2_FGTS_44H+SUBMOD_2_3_BENEFICIOS_44H)</f>
        <v>8.1999999999999993</v>
      </c>
    </row>
    <row r="59" spans="2:7" s="107" customFormat="1" x14ac:dyDescent="0.4">
      <c r="B59" s="2" t="s">
        <v>3</v>
      </c>
      <c r="C59" s="303" t="s">
        <v>50</v>
      </c>
      <c r="D59" s="303"/>
      <c r="E59" s="46">
        <f>PERC_AVISO_PREVIO_TRAB</f>
        <v>1.1599999999999999</v>
      </c>
      <c r="F59" s="36">
        <f>PERC_AVISO_PREVIO_TRAB%*(MOD_1_REMUNERACAO_44H+SUBMOD_2_1_DEC_TERC_ADIC_FERIAS_44H+SUBMOD_2_2_GPS_FGTS_44H+SUBMOD_2_3_BENEFICIOS_44H)</f>
        <v>40.25</v>
      </c>
    </row>
    <row r="60" spans="2:7" s="98" customFormat="1" x14ac:dyDescent="0.25">
      <c r="B60" s="2" t="s">
        <v>4</v>
      </c>
      <c r="C60" s="301" t="s">
        <v>232</v>
      </c>
      <c r="D60" s="301"/>
      <c r="E60" s="59">
        <f>PERC_MULTA_FGTS_AV_PREV_TRAB</f>
        <v>0.04</v>
      </c>
      <c r="F60" s="58">
        <f>PERC_MULTA_FGTS_AV_PREV_TRAB%*(MOD_1_REMUNERACAO_44H+SUBMOD_2_1_DEC_TERC_ADIC_FERIAS_44H)</f>
        <v>0.81</v>
      </c>
    </row>
    <row r="61" spans="2:7" s="98" customFormat="1" x14ac:dyDescent="0.4">
      <c r="B61" s="268" t="s">
        <v>46</v>
      </c>
      <c r="C61" s="269"/>
      <c r="D61" s="269"/>
      <c r="E61" s="270"/>
      <c r="F61" s="41">
        <f>SUM(F58:F60)</f>
        <v>49.26</v>
      </c>
    </row>
    <row r="62" spans="2:7" ht="10.5" customHeight="1" x14ac:dyDescent="0.4">
      <c r="B62" s="16"/>
      <c r="C62" s="17"/>
      <c r="D62" s="18"/>
      <c r="E62" s="14"/>
      <c r="F62" s="14"/>
    </row>
    <row r="63" spans="2:7" s="98" customFormat="1" ht="15.9" customHeight="1" x14ac:dyDescent="0.4">
      <c r="B63" s="51" t="s">
        <v>73</v>
      </c>
      <c r="C63" s="12"/>
      <c r="D63" s="22"/>
      <c r="E63" s="13"/>
      <c r="F63" s="13"/>
    </row>
    <row r="64" spans="2:7" s="98" customFormat="1" ht="15.9" customHeight="1" x14ac:dyDescent="0.4">
      <c r="B64" s="51" t="s">
        <v>102</v>
      </c>
      <c r="C64" s="12"/>
      <c r="D64" s="22"/>
      <c r="E64" s="20"/>
      <c r="F64" s="20"/>
    </row>
    <row r="65" spans="2:6" s="98" customFormat="1" x14ac:dyDescent="0.25">
      <c r="B65" s="1" t="s">
        <v>18</v>
      </c>
      <c r="C65" s="302" t="s">
        <v>103</v>
      </c>
      <c r="D65" s="302"/>
      <c r="E65" s="4" t="s">
        <v>1</v>
      </c>
      <c r="F65" s="4" t="s">
        <v>13</v>
      </c>
    </row>
    <row r="66" spans="2:6" s="98" customFormat="1" ht="15.9" customHeight="1" x14ac:dyDescent="0.25">
      <c r="B66" s="2" t="s">
        <v>2</v>
      </c>
      <c r="C66" s="298" t="s">
        <v>104</v>
      </c>
      <c r="D66" s="298"/>
      <c r="E66" s="59">
        <f>PERC_SUBSTITUTO_FERIAS</f>
        <v>8.33</v>
      </c>
      <c r="F66" s="58">
        <f>PERC_SUBSTITUTO_FERIAS%*(MOD_1_REMUNERACAO_44H+MOD_2_ENCARGOS_BENEFICIOS_44H+MOD_3_PROVISAO_RESCISAO_44H)</f>
        <v>293.14</v>
      </c>
    </row>
    <row r="67" spans="2:6" s="98" customFormat="1" ht="15.9" customHeight="1" x14ac:dyDescent="0.25">
      <c r="B67" s="2" t="s">
        <v>3</v>
      </c>
      <c r="C67" s="300" t="s">
        <v>105</v>
      </c>
      <c r="D67" s="300"/>
      <c r="E67" s="46">
        <f>PERC_SUBSTITUTO_AUSENCIAS_LEGAIS</f>
        <v>2.2200000000000002</v>
      </c>
      <c r="F67" s="36">
        <f>PERC_SUBSTITUTO_AUSENCIAS_LEGAIS%*(MOD_1_REMUNERACAO_44H+MOD_2_ENCARGOS_BENEFICIOS_44H+MOD_3_PROVISAO_RESCISAO_44H)</f>
        <v>78.12</v>
      </c>
    </row>
    <row r="68" spans="2:6" s="98" customFormat="1" ht="15.9" customHeight="1" x14ac:dyDescent="0.25">
      <c r="B68" s="2" t="s">
        <v>4</v>
      </c>
      <c r="C68" s="298" t="s">
        <v>106</v>
      </c>
      <c r="D68" s="298"/>
      <c r="E68" s="59">
        <f>PERC_SUBSTITUTO_LICENCA_PATERNIDADE</f>
        <v>7.0000000000000007E-2</v>
      </c>
      <c r="F68" s="58">
        <f>PERC_SUBSTITUTO_LICENCA_PATERNIDADE%*(MOD_1_REMUNERACAO_44H+MOD_2_ENCARGOS_BENEFICIOS_44H+MOD_3_PROVISAO_RESCISAO_44H)</f>
        <v>2.46</v>
      </c>
    </row>
    <row r="69" spans="2:6" s="98" customFormat="1" x14ac:dyDescent="0.25">
      <c r="B69" s="2" t="s">
        <v>5</v>
      </c>
      <c r="C69" s="300" t="s">
        <v>107</v>
      </c>
      <c r="D69" s="300"/>
      <c r="E69" s="46">
        <f>PERC_SUBSTITUTO_ACID_TRAB</f>
        <v>0.02</v>
      </c>
      <c r="F69" s="36">
        <f>PERC_SUBSTITUTO_ACID_TRAB%*(MOD_1_REMUNERACAO_44H+MOD_2_ENCARGOS_BENEFICIOS_44H+MOD_3_PROVISAO_RESCISAO_44H)</f>
        <v>0.7</v>
      </c>
    </row>
    <row r="70" spans="2:6" s="98" customFormat="1" x14ac:dyDescent="0.25">
      <c r="B70" s="2" t="s">
        <v>6</v>
      </c>
      <c r="C70" s="298" t="s">
        <v>108</v>
      </c>
      <c r="D70" s="298"/>
      <c r="E70" s="59">
        <f>PERC_SUBSTITUTO_AFAST_MATERN</f>
        <v>0.04</v>
      </c>
      <c r="F70" s="58">
        <f>PERC_SUBSTITUTO_AFAST_MATERN%*(MOD_1_REMUNERACAO_44H+MOD_2_ENCARGOS_BENEFICIOS_44H+MOD_3_PROVISAO_RESCISAO_44H)</f>
        <v>1.41</v>
      </c>
    </row>
    <row r="71" spans="2:6" s="98" customFormat="1" x14ac:dyDescent="0.25">
      <c r="B71" s="2" t="s">
        <v>7</v>
      </c>
      <c r="C71" s="325" t="str">
        <f>OUTRAS_AUSENCIAS_DESCRICAO</f>
        <v>Outras Ausências (Especificar - em %)</v>
      </c>
      <c r="D71" s="300"/>
      <c r="E71" s="53">
        <f>PERC_SUBSTITUTO_OUTRAS_AUSENCIAS</f>
        <v>0</v>
      </c>
      <c r="F71" s="36">
        <f>PERC_SUBSTITUTO_OUTRAS_AUSENCIAS%*(MOD_1_REMUNERACAO_44H+MOD_2_ENCARGOS_BENEFICIOS_44H+MOD_3_PROVISAO_RESCISAO_44H)</f>
        <v>0</v>
      </c>
    </row>
    <row r="72" spans="2:6" s="98" customFormat="1" x14ac:dyDescent="0.4">
      <c r="B72" s="268" t="s">
        <v>46</v>
      </c>
      <c r="C72" s="269"/>
      <c r="D72" s="269"/>
      <c r="E72" s="270"/>
      <c r="F72" s="41">
        <f>SUM(F66:F71)</f>
        <v>375.83</v>
      </c>
    </row>
    <row r="73" spans="2:6" ht="18" customHeight="1" x14ac:dyDescent="0.4">
      <c r="B73" s="16"/>
      <c r="C73" s="17"/>
      <c r="D73" s="18"/>
      <c r="E73" s="14"/>
      <c r="F73" s="14"/>
    </row>
    <row r="74" spans="2:6" x14ac:dyDescent="0.4">
      <c r="B74" s="51" t="s">
        <v>226</v>
      </c>
      <c r="C74" s="12"/>
      <c r="D74" s="22"/>
      <c r="E74" s="20"/>
      <c r="F74" s="20"/>
    </row>
    <row r="75" spans="2:6" x14ac:dyDescent="0.4">
      <c r="B75" s="1" t="s">
        <v>19</v>
      </c>
      <c r="C75" s="137" t="s">
        <v>225</v>
      </c>
      <c r="D75" s="137"/>
      <c r="E75" s="137"/>
      <c r="F75" s="4" t="s">
        <v>13</v>
      </c>
    </row>
    <row r="76" spans="2:6" x14ac:dyDescent="0.4">
      <c r="B76" s="1" t="s">
        <v>2</v>
      </c>
      <c r="C76" s="298" t="s">
        <v>109</v>
      </c>
      <c r="D76" s="298"/>
      <c r="E76" s="298"/>
      <c r="F76" s="57">
        <f>((MOD_1_REMUNERACAO_44H+MOD_2_ENCARGOS_BENEFICIOS_44H+MOD_3_PROVISAO_RESCISAO_44H)/DIVISOR_DE_HORAS)*(('INSERÇÃO-DE-DADOS'!F70/HORA_NORMAL))*DIAS_UTEIS_TRABALHADOS_NO_MES_44HORAS</f>
        <v>351.91</v>
      </c>
    </row>
    <row r="77" spans="2:6" x14ac:dyDescent="0.4">
      <c r="B77" s="260" t="s">
        <v>46</v>
      </c>
      <c r="C77" s="260"/>
      <c r="D77" s="260"/>
      <c r="E77" s="260"/>
      <c r="F77" s="41">
        <f>SUM(F76)</f>
        <v>351.91</v>
      </c>
    </row>
    <row r="78" spans="2:6" x14ac:dyDescent="0.4">
      <c r="C78" s="13"/>
      <c r="D78" s="13"/>
      <c r="E78" s="13"/>
      <c r="F78" s="13"/>
    </row>
    <row r="79" spans="2:6" x14ac:dyDescent="0.4">
      <c r="B79" s="51" t="s">
        <v>77</v>
      </c>
      <c r="C79" s="12"/>
      <c r="D79" s="12"/>
      <c r="E79" s="20"/>
      <c r="F79" s="20"/>
    </row>
    <row r="80" spans="2:6" ht="15.75" customHeight="1" x14ac:dyDescent="0.4">
      <c r="B80" s="49">
        <v>5</v>
      </c>
      <c r="C80" s="271" t="s">
        <v>0</v>
      </c>
      <c r="D80" s="271"/>
      <c r="E80" s="271"/>
      <c r="F80" s="50" t="s">
        <v>13</v>
      </c>
    </row>
    <row r="81" spans="2:6" x14ac:dyDescent="0.4">
      <c r="B81" s="44" t="s">
        <v>2</v>
      </c>
      <c r="C81" s="272" t="s">
        <v>16</v>
      </c>
      <c r="D81" s="272"/>
      <c r="E81" s="272"/>
      <c r="F81" s="60">
        <f>[1]Uniforme!$F$19</f>
        <v>244.71</v>
      </c>
    </row>
    <row r="82" spans="2:6" x14ac:dyDescent="0.4">
      <c r="B82" s="44" t="s">
        <v>3</v>
      </c>
      <c r="C82" s="273" t="s">
        <v>285</v>
      </c>
      <c r="D82" s="273"/>
      <c r="E82" s="273"/>
      <c r="F82" s="47">
        <f>'[1]Equipamentos - material'!$H$24</f>
        <v>77.400000000000006</v>
      </c>
    </row>
    <row r="83" spans="2:6" x14ac:dyDescent="0.4">
      <c r="B83" s="44" t="s">
        <v>4</v>
      </c>
      <c r="C83" s="272" t="s">
        <v>286</v>
      </c>
      <c r="D83" s="272"/>
      <c r="E83" s="272"/>
      <c r="F83" s="60">
        <f>'[1]Equipamentos - material'!$H$7</f>
        <v>8.09</v>
      </c>
    </row>
    <row r="84" spans="2:6" x14ac:dyDescent="0.4">
      <c r="B84" s="44" t="s">
        <v>5</v>
      </c>
      <c r="C84" s="324" t="str">
        <f>OUTROS_INSUMOS_DESCRICAO</f>
        <v>Outros (Especificar)</v>
      </c>
      <c r="D84" s="273"/>
      <c r="E84" s="273"/>
      <c r="F84" s="47">
        <f>OUTROS_INSUMOS</f>
        <v>0</v>
      </c>
    </row>
    <row r="85" spans="2:6" x14ac:dyDescent="0.4">
      <c r="B85" s="328" t="s">
        <v>46</v>
      </c>
      <c r="C85" s="328"/>
      <c r="D85" s="328"/>
      <c r="E85" s="328"/>
      <c r="F85" s="43">
        <f>SUM(F81:F84)</f>
        <v>330.2</v>
      </c>
    </row>
    <row r="86" spans="2:6" ht="10.5" customHeight="1" x14ac:dyDescent="0.4">
      <c r="B86" s="16"/>
      <c r="C86" s="17"/>
      <c r="D86" s="18"/>
      <c r="E86" s="14"/>
      <c r="F86" s="14"/>
    </row>
    <row r="87" spans="2:6" ht="15" customHeight="1" x14ac:dyDescent="0.4">
      <c r="B87" s="264" t="s">
        <v>76</v>
      </c>
      <c r="C87" s="264"/>
      <c r="D87" s="264"/>
      <c r="E87" s="264"/>
      <c r="F87" s="264"/>
    </row>
    <row r="88" spans="2:6" x14ac:dyDescent="0.4">
      <c r="B88" s="1">
        <v>6</v>
      </c>
      <c r="C88" s="260" t="s">
        <v>20</v>
      </c>
      <c r="D88" s="260"/>
      <c r="E88" s="4" t="s">
        <v>1</v>
      </c>
      <c r="F88" s="4" t="s">
        <v>13</v>
      </c>
    </row>
    <row r="89" spans="2:6" x14ac:dyDescent="0.4">
      <c r="B89" s="1" t="s">
        <v>2</v>
      </c>
      <c r="C89" s="298" t="s">
        <v>78</v>
      </c>
      <c r="D89" s="298"/>
      <c r="E89" s="61">
        <f>PERC_CUSTOS_INDIRETOS</f>
        <v>4.8499999999999996</v>
      </c>
      <c r="F89" s="58">
        <f>PERC_CUSTOS_INDIRETOS%*(MOD_1_REMUNERACAO_44H+MOD_2_ENCARGOS_BENEFICIOS_44H+MOD_3_PROVISAO_RESCISAO_44H+MOD_4_CUSTO_REPOSICAO_44H+MOD_5_INSUMOS_44H)</f>
        <v>221.98</v>
      </c>
    </row>
    <row r="90" spans="2:6" ht="15.75" customHeight="1" x14ac:dyDescent="0.4">
      <c r="B90" s="2" t="s">
        <v>3</v>
      </c>
      <c r="C90" s="300" t="s">
        <v>32</v>
      </c>
      <c r="D90" s="300"/>
      <c r="E90" s="48">
        <f>PERC_LUCRO</f>
        <v>5.45</v>
      </c>
      <c r="F90" s="36">
        <f>PERC_LUCRO%*(MOD_1_REMUNERACAO_44H+MOD_2_ENCARGOS_BENEFICIOS_44H+MOD_3_PROVISAO_RESCISAO_44H+MOD_4_CUSTO_REPOSICAO_44H+MOD_5_INSUMOS_44H+AL_6_A_CUSTOS_INDIRETOS_44H)</f>
        <v>261.54000000000002</v>
      </c>
    </row>
    <row r="91" spans="2:6" x14ac:dyDescent="0.4">
      <c r="B91" s="2" t="s">
        <v>4</v>
      </c>
      <c r="C91" s="298" t="s">
        <v>21</v>
      </c>
      <c r="D91" s="298"/>
      <c r="E91" s="61">
        <f>SUM(E92:E94)</f>
        <v>8.65</v>
      </c>
      <c r="F91" s="58">
        <f>SUM(F92:F94)</f>
        <v>479.19</v>
      </c>
    </row>
    <row r="92" spans="2:6" ht="15.75" customHeight="1" x14ac:dyDescent="0.4">
      <c r="B92" s="30" t="s">
        <v>79</v>
      </c>
      <c r="C92" s="326" t="s">
        <v>23</v>
      </c>
      <c r="D92" s="326"/>
      <c r="E92" s="31">
        <f>PERC_PIS</f>
        <v>0.65</v>
      </c>
      <c r="F92" s="63">
        <f>((MOD_1_REMUNERACAO_44H+MOD_2_ENCARGOS_BENEFICIOS_44H+MOD_3_PROVISAO_RESCISAO_44H+MOD_4_CUSTO_REPOSICAO_44H+MOD_5_INSUMOS_44H+AL_6_A_CUSTOS_INDIRETOS_44H+AL_6_B_LUCRO_44H)*PERC_PIS%)/(1-PERC_TRIBUTOS%)</f>
        <v>36.01</v>
      </c>
    </row>
    <row r="93" spans="2:6" x14ac:dyDescent="0.4">
      <c r="B93" s="30" t="s">
        <v>80</v>
      </c>
      <c r="C93" s="327" t="s">
        <v>24</v>
      </c>
      <c r="D93" s="327"/>
      <c r="E93" s="62">
        <f>PERC_COFINS</f>
        <v>3</v>
      </c>
      <c r="F93" s="64">
        <f>((MOD_1_REMUNERACAO_44H+MOD_2_ENCARGOS_BENEFICIOS_44H+MOD_3_PROVISAO_RESCISAO_44H+MOD_4_CUSTO_REPOSICAO_44H+MOD_5_INSUMOS_44H+AL_6_A_CUSTOS_INDIRETOS_44H+AL_6_B_LUCRO_44H)*PERC_COFINS%)/(1-PERC_TRIBUTOS%)</f>
        <v>166.19</v>
      </c>
    </row>
    <row r="94" spans="2:6" s="108" customFormat="1" x14ac:dyDescent="0.4">
      <c r="B94" s="30" t="s">
        <v>81</v>
      </c>
      <c r="C94" s="326" t="s">
        <v>25</v>
      </c>
      <c r="D94" s="326"/>
      <c r="E94" s="31">
        <f>PERC_ISS</f>
        <v>5</v>
      </c>
      <c r="F94" s="63">
        <f>((MOD_1_REMUNERACAO_44H+MOD_2_ENCARGOS_BENEFICIOS_44H+MOD_3_PROVISAO_RESCISAO_44H+MOD_4_CUSTO_REPOSICAO_44H+MOD_5_INSUMOS_44H+AL_6_A_CUSTOS_INDIRETOS_44H+AL_6_B_LUCRO_44H)*PERC_ISS%)/(1-PERC_TRIBUTOS%)</f>
        <v>276.99</v>
      </c>
    </row>
    <row r="95" spans="2:6" s="108" customFormat="1" x14ac:dyDescent="0.4">
      <c r="B95" s="268" t="s">
        <v>46</v>
      </c>
      <c r="C95" s="269"/>
      <c r="D95" s="269"/>
      <c r="E95" s="270"/>
      <c r="F95" s="37">
        <f>AL_6_A_CUSTOS_INDIRETOS_44H+AL_6_B_LUCRO_44H+AL_6_C_TRIBUTOS_44H</f>
        <v>962.71</v>
      </c>
    </row>
    <row r="96" spans="2:6" ht="19.5" customHeight="1" x14ac:dyDescent="0.4">
      <c r="B96" s="264" t="s">
        <v>261</v>
      </c>
      <c r="C96" s="264"/>
      <c r="D96" s="264"/>
      <c r="E96" s="264"/>
      <c r="F96" s="264"/>
    </row>
    <row r="97" spans="2:6" ht="19.5" customHeight="1" x14ac:dyDescent="0.4">
      <c r="B97" s="147" t="s">
        <v>2</v>
      </c>
      <c r="C97" s="275" t="str">
        <f>'INSERÇÃO-DE-DADOS'!C87:E87</f>
        <v>Dia do Vigilante - Clausula 82ª CCT - Jornada 44h</v>
      </c>
      <c r="D97" s="276"/>
      <c r="E97" s="277"/>
      <c r="F97" s="57">
        <f>'INSERÇÃO-DE-DADOS'!F87</f>
        <v>12.14</v>
      </c>
    </row>
    <row r="98" spans="2:6" s="108" customFormat="1" ht="30.75" customHeight="1" x14ac:dyDescent="0.4">
      <c r="B98" s="52" t="s">
        <v>53</v>
      </c>
      <c r="C98" s="15"/>
      <c r="D98" s="15"/>
      <c r="E98" s="15"/>
      <c r="F98" s="23"/>
    </row>
    <row r="99" spans="2:6" s="109" customFormat="1" ht="16.5" customHeight="1" x14ac:dyDescent="0.4">
      <c r="B99" s="2" t="s">
        <v>98</v>
      </c>
      <c r="C99" s="257" t="s">
        <v>99</v>
      </c>
      <c r="D99" s="258"/>
      <c r="E99" s="259"/>
      <c r="F99" s="4" t="s">
        <v>17</v>
      </c>
    </row>
    <row r="100" spans="2:6" s="108" customFormat="1" x14ac:dyDescent="0.4">
      <c r="B100" s="1">
        <v>1</v>
      </c>
      <c r="C100" s="298" t="s">
        <v>9</v>
      </c>
      <c r="D100" s="298"/>
      <c r="E100" s="298"/>
      <c r="F100" s="58">
        <f>MOD_1_REMUNERACAO_44H</f>
        <v>1821.39</v>
      </c>
    </row>
    <row r="101" spans="2:6" s="110" customFormat="1" ht="16.5" customHeight="1" x14ac:dyDescent="0.4">
      <c r="B101" s="2">
        <v>2</v>
      </c>
      <c r="C101" s="300" t="s">
        <v>100</v>
      </c>
      <c r="D101" s="300"/>
      <c r="E101" s="300"/>
      <c r="F101" s="36">
        <f>MOD_2_ENCARGOS_BENEFICIOS_44H</f>
        <v>1648.42</v>
      </c>
    </row>
    <row r="102" spans="2:6" s="110" customFormat="1" x14ac:dyDescent="0.4">
      <c r="B102" s="2">
        <v>3</v>
      </c>
      <c r="C102" s="298" t="s">
        <v>48</v>
      </c>
      <c r="D102" s="298"/>
      <c r="E102" s="298"/>
      <c r="F102" s="58">
        <f>MOD_3_PROVISAO_RESCISAO_44H</f>
        <v>49.26</v>
      </c>
    </row>
    <row r="103" spans="2:6" s="110" customFormat="1" x14ac:dyDescent="0.4">
      <c r="B103" s="2">
        <v>4</v>
      </c>
      <c r="C103" s="300" t="s">
        <v>51</v>
      </c>
      <c r="D103" s="300"/>
      <c r="E103" s="300"/>
      <c r="F103" s="36">
        <f>MOD_4_CUSTO_REPOSICAO_44H</f>
        <v>727.74</v>
      </c>
    </row>
    <row r="104" spans="2:6" s="110" customFormat="1" x14ac:dyDescent="0.4">
      <c r="B104" s="2">
        <v>5</v>
      </c>
      <c r="C104" s="298" t="s">
        <v>0</v>
      </c>
      <c r="D104" s="298"/>
      <c r="E104" s="298"/>
      <c r="F104" s="58">
        <f>MOD_5_INSUMOS_44H</f>
        <v>330.2</v>
      </c>
    </row>
    <row r="105" spans="2:6" s="110" customFormat="1" x14ac:dyDescent="0.4">
      <c r="B105" s="2">
        <v>6</v>
      </c>
      <c r="C105" s="300" t="s">
        <v>20</v>
      </c>
      <c r="D105" s="300"/>
      <c r="E105" s="300"/>
      <c r="F105" s="36">
        <f>MOD_6_CUSTOS_IND_LUCRO_TRIB_44H</f>
        <v>962.71</v>
      </c>
    </row>
    <row r="106" spans="2:6" s="110" customFormat="1" x14ac:dyDescent="0.4">
      <c r="B106" s="2">
        <v>7</v>
      </c>
      <c r="C106" s="275" t="str">
        <f>C97</f>
        <v>Dia do Vigilante - Clausula 82ª CCT - Jornada 44h</v>
      </c>
      <c r="D106" s="276"/>
      <c r="E106" s="277"/>
      <c r="F106" s="58">
        <f>F97</f>
        <v>12.14</v>
      </c>
    </row>
    <row r="107" spans="2:6" ht="16.5" customHeight="1" x14ac:dyDescent="0.4">
      <c r="B107" s="302" t="s">
        <v>101</v>
      </c>
      <c r="C107" s="302"/>
      <c r="D107" s="302"/>
      <c r="E107" s="302"/>
      <c r="F107" s="37">
        <f>SUM(F100:F106)</f>
        <v>5551.86</v>
      </c>
    </row>
    <row r="108" spans="2:6" ht="16.5" customHeight="1" x14ac:dyDescent="0.4">
      <c r="B108" s="302" t="s">
        <v>30</v>
      </c>
      <c r="C108" s="302"/>
      <c r="D108" s="302"/>
      <c r="E108" s="302"/>
      <c r="F108" s="37">
        <f>VALOR_TOTAL_EMPREGADO_44H*EMPREG_POR_POSTO_44H</f>
        <v>5551.86</v>
      </c>
    </row>
    <row r="109" spans="2:6" x14ac:dyDescent="0.4">
      <c r="B109" s="22"/>
      <c r="C109" s="15"/>
      <c r="D109" s="15"/>
      <c r="E109" s="15"/>
      <c r="F109" s="23"/>
    </row>
  </sheetData>
  <customSheetViews>
    <customSheetView guid="{E22B0E03-E710-4313-B9E5-0BFE52A7E677}" showPageBreaks="1" view="pageBreakPreview">
      <selection activeCell="B1" sqref="B1:F1"/>
      <pageMargins left="0.17" right="0.17" top="0.31496062992125984" bottom="0.17" header="0.31496062992125984" footer="0.21"/>
      <printOptions horizontalCentered="1"/>
      <pageSetup paperSize="9" orientation="portrait" r:id="rId1"/>
    </customSheetView>
  </customSheetViews>
  <mergeCells count="91">
    <mergeCell ref="C106:E106"/>
    <mergeCell ref="C34:D34"/>
    <mergeCell ref="C38:D38"/>
    <mergeCell ref="C40:D40"/>
    <mergeCell ref="C39:D39"/>
    <mergeCell ref="B35:E35"/>
    <mergeCell ref="B36:F36"/>
    <mergeCell ref="C37:D37"/>
    <mergeCell ref="B46:E46"/>
    <mergeCell ref="C43:D43"/>
    <mergeCell ref="C44:D44"/>
    <mergeCell ref="C45:D45"/>
    <mergeCell ref="C57:D57"/>
    <mergeCell ref="C51:E51"/>
    <mergeCell ref="C52:E52"/>
    <mergeCell ref="C50:E50"/>
    <mergeCell ref="C11:E11"/>
    <mergeCell ref="D16:F16"/>
    <mergeCell ref="B21:E21"/>
    <mergeCell ref="C18:E18"/>
    <mergeCell ref="D17:F17"/>
    <mergeCell ref="E15:F15"/>
    <mergeCell ref="C15:D15"/>
    <mergeCell ref="C12:E12"/>
    <mergeCell ref="B20:F20"/>
    <mergeCell ref="B1:F1"/>
    <mergeCell ref="B2:D2"/>
    <mergeCell ref="B7:F7"/>
    <mergeCell ref="D9:F9"/>
    <mergeCell ref="C10:E10"/>
    <mergeCell ref="B3:F3"/>
    <mergeCell ref="B4:F4"/>
    <mergeCell ref="B5:C5"/>
    <mergeCell ref="D5:F5"/>
    <mergeCell ref="B6:C6"/>
    <mergeCell ref="D6:E6"/>
    <mergeCell ref="C8:E8"/>
    <mergeCell ref="C49:E49"/>
    <mergeCell ref="C48:E48"/>
    <mergeCell ref="C23:E23"/>
    <mergeCell ref="C25:E25"/>
    <mergeCell ref="C41:D41"/>
    <mergeCell ref="C42:D42"/>
    <mergeCell ref="C24:E24"/>
    <mergeCell ref="C26:E26"/>
    <mergeCell ref="C27:E27"/>
    <mergeCell ref="C32:D32"/>
    <mergeCell ref="C33:D33"/>
    <mergeCell ref="B28:E28"/>
    <mergeCell ref="B107:E107"/>
    <mergeCell ref="B108:E108"/>
    <mergeCell ref="C102:E102"/>
    <mergeCell ref="C94:D94"/>
    <mergeCell ref="B61:E61"/>
    <mergeCell ref="B72:E72"/>
    <mergeCell ref="B95:E95"/>
    <mergeCell ref="C65:D65"/>
    <mergeCell ref="C93:D93"/>
    <mergeCell ref="C100:E100"/>
    <mergeCell ref="C101:E101"/>
    <mergeCell ref="C69:D69"/>
    <mergeCell ref="C82:E82"/>
    <mergeCell ref="C71:D71"/>
    <mergeCell ref="C105:E105"/>
    <mergeCell ref="C104:E104"/>
    <mergeCell ref="C53:E53"/>
    <mergeCell ref="C80:E80"/>
    <mergeCell ref="C81:E81"/>
    <mergeCell ref="B77:E77"/>
    <mergeCell ref="C67:D67"/>
    <mergeCell ref="C68:D68"/>
    <mergeCell ref="C59:D59"/>
    <mergeCell ref="C60:D60"/>
    <mergeCell ref="B54:E54"/>
    <mergeCell ref="C66:D66"/>
    <mergeCell ref="C58:D58"/>
    <mergeCell ref="C76:E76"/>
    <mergeCell ref="C70:D70"/>
    <mergeCell ref="B87:F87"/>
    <mergeCell ref="C84:E84"/>
    <mergeCell ref="C103:E103"/>
    <mergeCell ref="B85:E85"/>
    <mergeCell ref="C83:E83"/>
    <mergeCell ref="C99:E99"/>
    <mergeCell ref="C88:D88"/>
    <mergeCell ref="C89:D89"/>
    <mergeCell ref="C90:D90"/>
    <mergeCell ref="C91:D91"/>
    <mergeCell ref="C92:D92"/>
    <mergeCell ref="B96:F96"/>
    <mergeCell ref="C97:E97"/>
  </mergeCells>
  <printOptions horizontalCentered="1"/>
  <pageMargins left="0.17" right="0.17" top="0.23" bottom="0.17" header="0.25" footer="0.17"/>
  <pageSetup paperSize="9" orientation="portrait" r:id="rId2"/>
  <ignoredErrors>
    <ignoredError sqref="B1:F1 B15:F16 B3:F4 B7:F8 B2:F2 B10:F11 B9:C9 E9:F9 C17:F18 B12:E12 D5:F6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4" workbookViewId="0">
      <selection activeCell="M22" sqref="M22"/>
    </sheetView>
  </sheetViews>
  <sheetFormatPr defaultColWidth="9.109375" defaultRowHeight="16.8" x14ac:dyDescent="0.4"/>
  <cols>
    <col min="1" max="1" width="9.109375" style="73"/>
    <col min="2" max="2" width="13.5546875" style="73" customWidth="1"/>
    <col min="3" max="4" width="14.109375" style="73" customWidth="1"/>
    <col min="5" max="8" width="13.33203125" style="73" customWidth="1"/>
    <col min="9" max="16384" width="9.109375" style="73"/>
  </cols>
  <sheetData>
    <row r="1" spans="1:11" x14ac:dyDescent="0.4">
      <c r="H1" s="83" t="s">
        <v>185</v>
      </c>
    </row>
    <row r="2" spans="1:11" ht="15" customHeight="1" x14ac:dyDescent="0.4">
      <c r="A2" s="352" t="s">
        <v>154</v>
      </c>
      <c r="B2" s="361" t="s">
        <v>203</v>
      </c>
      <c r="C2" s="355" t="str">
        <f>POSTO_12X36_DIU</f>
        <v>Vigilância 12x36 horas - diurno - BEL</v>
      </c>
      <c r="D2" s="356"/>
      <c r="E2" s="359" t="str">
        <f>POSTO_12X36_NOT</f>
        <v>Vigilância 12x36 horas - noturno - BEL</v>
      </c>
      <c r="F2" s="356"/>
      <c r="G2" s="359" t="str">
        <f>POSTO_44H</f>
        <v>Vigilância 44 horas semanais - BEL</v>
      </c>
      <c r="H2" s="356"/>
    </row>
    <row r="3" spans="1:11" x14ac:dyDescent="0.4">
      <c r="A3" s="353"/>
      <c r="B3" s="362"/>
      <c r="C3" s="357"/>
      <c r="D3" s="358"/>
      <c r="E3" s="360"/>
      <c r="F3" s="358"/>
      <c r="G3" s="360"/>
      <c r="H3" s="358"/>
    </row>
    <row r="4" spans="1:11" ht="30.75" customHeight="1" x14ac:dyDescent="0.4">
      <c r="A4" s="354"/>
      <c r="B4" s="363"/>
      <c r="C4" s="82" t="s">
        <v>189</v>
      </c>
      <c r="D4" s="82" t="s">
        <v>190</v>
      </c>
      <c r="E4" s="82" t="s">
        <v>189</v>
      </c>
      <c r="F4" s="82" t="s">
        <v>190</v>
      </c>
      <c r="G4" s="82" t="s">
        <v>189</v>
      </c>
      <c r="H4" s="82" t="s">
        <v>190</v>
      </c>
    </row>
    <row r="5" spans="1:11" x14ac:dyDescent="0.4">
      <c r="A5" s="3" t="s">
        <v>155</v>
      </c>
      <c r="B5" s="89">
        <v>43805</v>
      </c>
      <c r="C5" s="7">
        <v>8597.41</v>
      </c>
      <c r="D5" s="7">
        <v>9342.48</v>
      </c>
      <c r="E5" s="7">
        <v>10191.24</v>
      </c>
      <c r="F5" s="7">
        <v>11075.61</v>
      </c>
      <c r="G5" s="7">
        <v>4829.51</v>
      </c>
      <c r="H5" s="7">
        <v>5301.05</v>
      </c>
    </row>
    <row r="6" spans="1:11" x14ac:dyDescent="0.4">
      <c r="A6" s="3" t="s">
        <v>156</v>
      </c>
      <c r="B6" s="89">
        <v>43690</v>
      </c>
      <c r="C6" s="10">
        <v>8111.4</v>
      </c>
      <c r="D6" s="10">
        <v>8815.7800000000007</v>
      </c>
      <c r="E6" s="10">
        <v>9145.9500000000007</v>
      </c>
      <c r="F6" s="10">
        <v>9940.84</v>
      </c>
      <c r="G6" s="10">
        <v>4456.3100000000004</v>
      </c>
      <c r="H6" s="10">
        <v>4892.59</v>
      </c>
    </row>
    <row r="7" spans="1:11" x14ac:dyDescent="0.4">
      <c r="A7" s="3" t="s">
        <v>157</v>
      </c>
      <c r="B7" s="89">
        <v>43805</v>
      </c>
      <c r="C7" s="7">
        <v>9315.82</v>
      </c>
      <c r="D7" s="7">
        <v>10127.92</v>
      </c>
      <c r="E7" s="7">
        <v>11217.83</v>
      </c>
      <c r="F7" s="7">
        <v>12197.44</v>
      </c>
      <c r="G7" s="7">
        <v>5141.26</v>
      </c>
      <c r="H7" s="7">
        <v>5646.04</v>
      </c>
    </row>
    <row r="8" spans="1:11" x14ac:dyDescent="0.4">
      <c r="A8" s="3" t="s">
        <v>158</v>
      </c>
      <c r="B8" s="89">
        <v>43207</v>
      </c>
      <c r="C8" s="10">
        <v>10997.4</v>
      </c>
      <c r="D8" s="10">
        <v>11939.6</v>
      </c>
      <c r="E8" s="10">
        <v>13109.73</v>
      </c>
      <c r="F8" s="10">
        <v>14233.8</v>
      </c>
      <c r="G8" s="10">
        <v>6073.35</v>
      </c>
      <c r="H8" s="10">
        <v>6660.79</v>
      </c>
    </row>
    <row r="9" spans="1:11" x14ac:dyDescent="0.4">
      <c r="A9" s="3" t="s">
        <v>159</v>
      </c>
      <c r="B9" s="89">
        <v>43461</v>
      </c>
      <c r="C9" s="7">
        <v>7937.26</v>
      </c>
      <c r="D9" s="7">
        <v>8619.73</v>
      </c>
      <c r="E9" s="7">
        <v>10244.790000000001</v>
      </c>
      <c r="F9" s="7">
        <v>11126.33</v>
      </c>
      <c r="G9" s="7">
        <v>4311.59</v>
      </c>
      <c r="H9" s="7">
        <v>4730.09</v>
      </c>
    </row>
    <row r="10" spans="1:11" x14ac:dyDescent="0.4">
      <c r="A10" s="3" t="s">
        <v>160</v>
      </c>
      <c r="B10" s="89">
        <v>43643</v>
      </c>
      <c r="C10" s="10">
        <v>9375.2099999999991</v>
      </c>
      <c r="D10" s="10">
        <v>10191.74</v>
      </c>
      <c r="E10" s="10">
        <v>11317.42</v>
      </c>
      <c r="F10" s="10">
        <v>12304.64</v>
      </c>
      <c r="G10" s="10">
        <v>5213.41</v>
      </c>
      <c r="H10" s="10">
        <v>5724.81</v>
      </c>
    </row>
    <row r="11" spans="1:11" x14ac:dyDescent="0.4">
      <c r="A11" s="3" t="s">
        <v>161</v>
      </c>
      <c r="B11" s="89">
        <v>42595</v>
      </c>
      <c r="C11" s="7">
        <v>15100.54</v>
      </c>
      <c r="D11" s="7">
        <v>16201.63</v>
      </c>
      <c r="E11" s="7">
        <v>16451.59</v>
      </c>
      <c r="F11" s="7">
        <v>18025.95</v>
      </c>
      <c r="G11" s="7">
        <v>7914.2</v>
      </c>
      <c r="H11" s="7">
        <v>8522.8700000000008</v>
      </c>
    </row>
    <row r="12" spans="1:11" x14ac:dyDescent="0.4">
      <c r="A12" s="3" t="s">
        <v>162</v>
      </c>
      <c r="B12" s="89">
        <v>43207</v>
      </c>
      <c r="C12" s="10">
        <v>10354.98</v>
      </c>
      <c r="D12" s="10">
        <v>11246.17</v>
      </c>
      <c r="E12" s="10">
        <v>12367.31</v>
      </c>
      <c r="F12" s="10">
        <v>13433.22</v>
      </c>
      <c r="G12" s="10">
        <v>5677.47</v>
      </c>
      <c r="H12" s="10">
        <v>6228.76</v>
      </c>
    </row>
    <row r="13" spans="1:11" x14ac:dyDescent="0.4">
      <c r="A13" s="3" t="s">
        <v>163</v>
      </c>
      <c r="B13" s="89">
        <v>43643</v>
      </c>
      <c r="C13" s="7">
        <v>9839.65</v>
      </c>
      <c r="D13" s="7">
        <v>10701.94</v>
      </c>
      <c r="E13" s="7">
        <v>10856.17</v>
      </c>
      <c r="F13" s="7">
        <v>11808.22</v>
      </c>
      <c r="G13" s="7">
        <v>5443.98</v>
      </c>
      <c r="H13" s="7">
        <v>5980.98</v>
      </c>
    </row>
    <row r="14" spans="1:11" x14ac:dyDescent="0.4">
      <c r="A14" s="3" t="s">
        <v>164</v>
      </c>
      <c r="B14" s="89">
        <v>43805</v>
      </c>
      <c r="C14" s="10">
        <v>8291.56</v>
      </c>
      <c r="D14" s="10">
        <v>9008.01</v>
      </c>
      <c r="E14" s="10">
        <v>9889.77</v>
      </c>
      <c r="F14" s="10">
        <v>10745.13</v>
      </c>
      <c r="G14" s="10">
        <v>4586.6499999999996</v>
      </c>
      <c r="H14" s="10">
        <v>5033.6400000000003</v>
      </c>
    </row>
    <row r="15" spans="1:11" x14ac:dyDescent="0.4">
      <c r="A15" s="3" t="s">
        <v>165</v>
      </c>
      <c r="B15" s="89">
        <v>43690</v>
      </c>
      <c r="C15" s="7">
        <v>12397.9</v>
      </c>
      <c r="D15" s="7">
        <v>13479.96</v>
      </c>
      <c r="E15" s="7">
        <v>14886.74</v>
      </c>
      <c r="F15" s="7">
        <v>16188.01</v>
      </c>
      <c r="G15" s="7">
        <v>6780.84</v>
      </c>
      <c r="H15" s="7">
        <v>7447.73</v>
      </c>
      <c r="K15" s="139"/>
    </row>
    <row r="16" spans="1:11" x14ac:dyDescent="0.4">
      <c r="A16" s="3" t="s">
        <v>166</v>
      </c>
      <c r="B16" s="89">
        <v>43349</v>
      </c>
      <c r="C16" s="10">
        <v>9332.23</v>
      </c>
      <c r="D16" s="10">
        <v>10140.01</v>
      </c>
      <c r="E16" s="10">
        <v>11068.79</v>
      </c>
      <c r="F16" s="10">
        <v>12028.09</v>
      </c>
      <c r="G16" s="10">
        <v>5192.12</v>
      </c>
      <c r="H16" s="10">
        <v>5698.6</v>
      </c>
      <c r="K16" s="138"/>
    </row>
    <row r="17" spans="1:11" x14ac:dyDescent="0.4">
      <c r="A17" s="3" t="s">
        <v>167</v>
      </c>
      <c r="B17" s="89">
        <v>43643</v>
      </c>
      <c r="C17" s="7">
        <v>8915.7999999999993</v>
      </c>
      <c r="D17" s="7">
        <v>9697.58</v>
      </c>
      <c r="E17" s="7">
        <v>10517.71</v>
      </c>
      <c r="F17" s="7">
        <v>11441.67</v>
      </c>
      <c r="G17" s="7">
        <v>4954.66</v>
      </c>
      <c r="H17" s="7">
        <v>5443.52</v>
      </c>
      <c r="K17" s="139"/>
    </row>
    <row r="18" spans="1:11" x14ac:dyDescent="0.4">
      <c r="A18" s="3" t="s">
        <v>168</v>
      </c>
      <c r="B18" s="89">
        <v>43761</v>
      </c>
      <c r="C18" s="10">
        <v>9587.27</v>
      </c>
      <c r="D18" s="10">
        <v>10426.1</v>
      </c>
      <c r="E18" s="10">
        <v>11450.32</v>
      </c>
      <c r="F18" s="10">
        <v>12453.27</v>
      </c>
      <c r="G18" s="10">
        <v>5218.6099999999997</v>
      </c>
      <c r="H18" s="10">
        <v>5732.86</v>
      </c>
      <c r="K18" s="138"/>
    </row>
    <row r="19" spans="1:11" x14ac:dyDescent="0.4">
      <c r="A19" s="3" t="s">
        <v>169</v>
      </c>
      <c r="B19" s="89">
        <v>43690</v>
      </c>
      <c r="C19" s="7">
        <v>7417.46</v>
      </c>
      <c r="D19" s="7">
        <v>8070.34</v>
      </c>
      <c r="E19" s="7">
        <v>8845.77</v>
      </c>
      <c r="F19" s="7">
        <v>9625.39</v>
      </c>
      <c r="G19" s="7">
        <v>4105.37</v>
      </c>
      <c r="H19" s="7">
        <v>4511.84</v>
      </c>
      <c r="K19" s="139"/>
    </row>
    <row r="20" spans="1:11" x14ac:dyDescent="0.4">
      <c r="A20" s="3" t="s">
        <v>170</v>
      </c>
      <c r="B20" s="89">
        <v>43805</v>
      </c>
      <c r="C20" s="10">
        <v>8783.67</v>
      </c>
      <c r="D20" s="10">
        <v>9552</v>
      </c>
      <c r="E20" s="10">
        <v>10376.83</v>
      </c>
      <c r="F20" s="10">
        <v>11286.12</v>
      </c>
      <c r="G20" s="10">
        <v>4943.93</v>
      </c>
      <c r="H20" s="10">
        <v>5430.41</v>
      </c>
      <c r="K20" s="138"/>
    </row>
    <row r="21" spans="1:11" x14ac:dyDescent="0.4">
      <c r="A21" s="3" t="s">
        <v>171</v>
      </c>
      <c r="B21" s="89">
        <v>42989</v>
      </c>
      <c r="C21" s="7">
        <v>8677.7800000000007</v>
      </c>
      <c r="D21" s="7">
        <v>9501.3700000000008</v>
      </c>
      <c r="E21" s="7">
        <v>12066.94</v>
      </c>
      <c r="F21" s="7">
        <v>14172.44</v>
      </c>
      <c r="G21" s="7">
        <v>4448.13</v>
      </c>
      <c r="H21" s="7">
        <v>4889.71</v>
      </c>
    </row>
    <row r="22" spans="1:11" x14ac:dyDescent="0.4">
      <c r="A22" s="3" t="s">
        <v>172</v>
      </c>
      <c r="B22" s="89">
        <v>43643</v>
      </c>
      <c r="C22" s="10">
        <v>12261.66</v>
      </c>
      <c r="D22" s="10">
        <v>13340.87</v>
      </c>
      <c r="E22" s="10">
        <v>14577.88</v>
      </c>
      <c r="F22" s="10">
        <v>15862.82</v>
      </c>
      <c r="G22" s="10">
        <v>6768.04</v>
      </c>
      <c r="H22" s="10">
        <v>7438.22</v>
      </c>
    </row>
    <row r="23" spans="1:11" x14ac:dyDescent="0.4">
      <c r="A23" s="3" t="s">
        <v>173</v>
      </c>
      <c r="B23" s="89">
        <v>43287</v>
      </c>
      <c r="C23" s="7">
        <v>9779.4599999999991</v>
      </c>
      <c r="D23" s="7">
        <v>10630.1</v>
      </c>
      <c r="E23" s="7">
        <v>11676</v>
      </c>
      <c r="F23" s="7">
        <v>12692.64</v>
      </c>
      <c r="G23" s="7">
        <v>5371.45</v>
      </c>
      <c r="H23" s="7">
        <v>5897.91</v>
      </c>
    </row>
    <row r="24" spans="1:11" x14ac:dyDescent="0.4">
      <c r="A24" s="3" t="s">
        <v>174</v>
      </c>
      <c r="B24" s="89">
        <v>43643</v>
      </c>
      <c r="C24" s="10">
        <v>9400.85</v>
      </c>
      <c r="D24" s="10">
        <v>10228.959999999999</v>
      </c>
      <c r="E24" s="10">
        <v>11261.97</v>
      </c>
      <c r="F24" s="10">
        <v>12255.04</v>
      </c>
      <c r="G24" s="10">
        <v>5144.09</v>
      </c>
      <c r="H24" s="10">
        <v>5654.09</v>
      </c>
    </row>
    <row r="25" spans="1:11" x14ac:dyDescent="0.4">
      <c r="A25" s="3" t="s">
        <v>175</v>
      </c>
      <c r="B25" s="89">
        <v>43287</v>
      </c>
      <c r="C25" s="7">
        <v>9176.75</v>
      </c>
      <c r="D25" s="7">
        <v>9972.15</v>
      </c>
      <c r="E25" s="7">
        <v>10170.83</v>
      </c>
      <c r="F25" s="7">
        <v>11053.19</v>
      </c>
      <c r="G25" s="7">
        <v>5148.58</v>
      </c>
      <c r="H25" s="7">
        <v>5651.21</v>
      </c>
    </row>
    <row r="26" spans="1:11" x14ac:dyDescent="0.4">
      <c r="A26" s="3" t="s">
        <v>176</v>
      </c>
      <c r="B26" s="89">
        <v>43280</v>
      </c>
      <c r="C26" s="10">
        <v>7408.92</v>
      </c>
      <c r="D26" s="10">
        <v>8049.8</v>
      </c>
      <c r="E26" s="10">
        <v>8792.52</v>
      </c>
      <c r="F26" s="10">
        <v>9554.01</v>
      </c>
      <c r="G26" s="10">
        <v>4100.8599999999997</v>
      </c>
      <c r="H26" s="10">
        <v>4500.66</v>
      </c>
    </row>
    <row r="27" spans="1:11" x14ac:dyDescent="0.4">
      <c r="A27" s="3" t="s">
        <v>177</v>
      </c>
      <c r="B27" s="89">
        <v>43805</v>
      </c>
      <c r="C27" s="7">
        <v>10253.43</v>
      </c>
      <c r="D27" s="7">
        <v>11160.84</v>
      </c>
      <c r="E27" s="7">
        <v>12264.88</v>
      </c>
      <c r="F27" s="7">
        <v>13351.59</v>
      </c>
      <c r="G27" s="7">
        <v>5631.93</v>
      </c>
      <c r="H27" s="7">
        <v>6192.41</v>
      </c>
    </row>
    <row r="28" spans="1:11" x14ac:dyDescent="0.4">
      <c r="A28" s="3" t="s">
        <v>178</v>
      </c>
      <c r="B28" s="89">
        <v>43805</v>
      </c>
      <c r="C28" s="10">
        <v>9937.31</v>
      </c>
      <c r="D28" s="10">
        <v>10815.6</v>
      </c>
      <c r="E28" s="10">
        <v>11855.37</v>
      </c>
      <c r="F28" s="10">
        <v>12904.6</v>
      </c>
      <c r="G28" s="10">
        <v>5485.7</v>
      </c>
      <c r="H28" s="10">
        <v>6030.85</v>
      </c>
    </row>
    <row r="29" spans="1:11" x14ac:dyDescent="0.4">
      <c r="A29" s="3" t="s">
        <v>179</v>
      </c>
      <c r="B29" s="89">
        <v>43339</v>
      </c>
      <c r="C29" s="7">
        <v>7795.56</v>
      </c>
      <c r="D29" s="7">
        <v>8470.73</v>
      </c>
      <c r="E29" s="7">
        <v>9355.6200000000008</v>
      </c>
      <c r="F29" s="7">
        <v>10166.450000000001</v>
      </c>
      <c r="G29" s="7">
        <v>4248.05</v>
      </c>
      <c r="H29" s="7">
        <v>4663.01</v>
      </c>
    </row>
    <row r="30" spans="1:11" x14ac:dyDescent="0.4">
      <c r="A30" s="3" t="s">
        <v>180</v>
      </c>
      <c r="B30" s="89">
        <v>43593</v>
      </c>
      <c r="C30" s="10">
        <v>10689.88</v>
      </c>
      <c r="D30" s="10">
        <v>11635.82</v>
      </c>
      <c r="E30" s="10">
        <v>12766.9</v>
      </c>
      <c r="F30" s="10">
        <v>13898.1</v>
      </c>
      <c r="G30" s="10">
        <v>5893.81</v>
      </c>
      <c r="H30" s="10">
        <v>6480.16</v>
      </c>
    </row>
    <row r="31" spans="1:11" x14ac:dyDescent="0.4">
      <c r="A31" s="3" t="s">
        <v>181</v>
      </c>
      <c r="B31" s="89">
        <v>43565</v>
      </c>
      <c r="C31" s="7">
        <v>10541.15</v>
      </c>
      <c r="D31" s="7">
        <v>11454.8</v>
      </c>
      <c r="E31" s="7">
        <v>12488.13</v>
      </c>
      <c r="F31" s="7">
        <v>13571.97</v>
      </c>
      <c r="G31" s="7">
        <v>5749.12</v>
      </c>
      <c r="H31" s="7">
        <v>6311.12</v>
      </c>
    </row>
    <row r="32" spans="1:11" x14ac:dyDescent="0.4">
      <c r="A32" s="364" t="s">
        <v>195</v>
      </c>
      <c r="B32" s="365"/>
      <c r="C32" s="90">
        <f>AVERAGE(C5:C31)</f>
        <v>9639.94</v>
      </c>
      <c r="D32" s="90">
        <f t="shared" ref="D32:H32" si="0">AVERAGE(D5:D31)</f>
        <v>10474.89</v>
      </c>
      <c r="E32" s="90">
        <f t="shared" si="0"/>
        <v>11452.41</v>
      </c>
      <c r="F32" s="90">
        <f t="shared" si="0"/>
        <v>12496.17</v>
      </c>
      <c r="G32" s="90">
        <f t="shared" si="0"/>
        <v>5290.11</v>
      </c>
      <c r="H32" s="90">
        <f t="shared" si="0"/>
        <v>5803.55</v>
      </c>
    </row>
    <row r="33" spans="1:8" x14ac:dyDescent="0.4">
      <c r="A33" s="350" t="s">
        <v>196</v>
      </c>
      <c r="B33" s="351"/>
      <c r="C33" s="90">
        <f>SMALL(C5:C31,27)</f>
        <v>15100.54</v>
      </c>
      <c r="D33" s="90">
        <f t="shared" ref="D33:H33" si="1">SMALL(D5:D31,27)</f>
        <v>16201.63</v>
      </c>
      <c r="E33" s="90">
        <f t="shared" si="1"/>
        <v>16451.59</v>
      </c>
      <c r="F33" s="90">
        <f t="shared" si="1"/>
        <v>18025.95</v>
      </c>
      <c r="G33" s="90">
        <f t="shared" si="1"/>
        <v>7914.2</v>
      </c>
      <c r="H33" s="90">
        <f t="shared" si="1"/>
        <v>8522.8700000000008</v>
      </c>
    </row>
    <row r="34" spans="1:8" x14ac:dyDescent="0.4">
      <c r="A34" s="350" t="s">
        <v>197</v>
      </c>
      <c r="B34" s="351"/>
      <c r="C34" s="90">
        <f>LARGE(C6:C32,27)</f>
        <v>7408.92</v>
      </c>
      <c r="D34" s="90">
        <f t="shared" ref="D34:H34" si="2">LARGE(D6:D32,27)</f>
        <v>8049.8</v>
      </c>
      <c r="E34" s="90">
        <f t="shared" si="2"/>
        <v>8792.52</v>
      </c>
      <c r="F34" s="90">
        <f t="shared" si="2"/>
        <v>9554.01</v>
      </c>
      <c r="G34" s="90">
        <f t="shared" si="2"/>
        <v>4100.8599999999997</v>
      </c>
      <c r="H34" s="90">
        <f t="shared" si="2"/>
        <v>4500.66</v>
      </c>
    </row>
    <row r="35" spans="1:8" x14ac:dyDescent="0.4">
      <c r="H35" s="83" t="s">
        <v>204</v>
      </c>
    </row>
  </sheetData>
  <sheetProtection sheet="1" objects="1" scenarios="1"/>
  <dataConsolidate/>
  <mergeCells count="8">
    <mergeCell ref="A34:B34"/>
    <mergeCell ref="A2:A4"/>
    <mergeCell ref="C2:D3"/>
    <mergeCell ref="E2:F3"/>
    <mergeCell ref="G2:H3"/>
    <mergeCell ref="B2:B4"/>
    <mergeCell ref="A32:B32"/>
    <mergeCell ref="A33:B3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05"/>
  <sheetViews>
    <sheetView topLeftCell="A69" zoomScaleNormal="100" zoomScaleSheetLayoutView="100" workbookViewId="0">
      <selection activeCell="C79" sqref="C79:E80"/>
    </sheetView>
  </sheetViews>
  <sheetFormatPr defaultColWidth="9.109375" defaultRowHeight="16.8" x14ac:dyDescent="0.4"/>
  <cols>
    <col min="1" max="1" width="2.6640625" style="13" customWidth="1"/>
    <col min="2" max="2" width="8.88671875" style="13" customWidth="1"/>
    <col min="3" max="3" width="52.5546875" style="19" customWidth="1"/>
    <col min="4" max="4" width="7.88671875" style="19" customWidth="1"/>
    <col min="5" max="5" width="13.5546875" style="19" customWidth="1"/>
    <col min="6" max="6" width="15.44140625" style="19" bestFit="1" customWidth="1"/>
    <col min="7" max="7" width="15.44140625" style="13" customWidth="1"/>
    <col min="8" max="8" width="65.33203125" style="13" customWidth="1"/>
    <col min="9" max="10" width="12.5546875" style="13" bestFit="1" customWidth="1"/>
    <col min="11" max="16384" width="9.109375" style="13"/>
  </cols>
  <sheetData>
    <row r="1" spans="2:6" ht="20.399999999999999" x14ac:dyDescent="0.45">
      <c r="B1" s="313" t="str">
        <f>RAMO</f>
        <v>RAMO: MINISTÉRIO PÚBLIC FEDERAL</v>
      </c>
      <c r="C1" s="314"/>
      <c r="D1" s="314"/>
      <c r="E1" s="314"/>
      <c r="F1" s="315"/>
    </row>
    <row r="2" spans="2:6" ht="20.399999999999999" x14ac:dyDescent="0.45">
      <c r="B2" s="316" t="str">
        <f>UG</f>
        <v>UNIDADE GESTORA (SIGLA): PR-PA</v>
      </c>
      <c r="C2" s="317"/>
      <c r="D2" s="318"/>
      <c r="E2" s="113" t="s">
        <v>57</v>
      </c>
      <c r="F2" s="114" t="str">
        <f>DATA_DO_ORCAMENTO_ESTIMATIVO</f>
        <v>XX/XX/20XX</v>
      </c>
    </row>
    <row r="3" spans="2:6" s="98" customFormat="1" ht="24.6" x14ac:dyDescent="0.55000000000000004">
      <c r="B3" s="281" t="s">
        <v>54</v>
      </c>
      <c r="C3" s="281"/>
      <c r="D3" s="281"/>
      <c r="E3" s="281"/>
      <c r="F3" s="281"/>
    </row>
    <row r="4" spans="2:6" s="98" customFormat="1" ht="15.9" customHeight="1" x14ac:dyDescent="0.4">
      <c r="B4" s="282" t="s">
        <v>97</v>
      </c>
      <c r="C4" s="282"/>
      <c r="D4" s="282"/>
      <c r="E4" s="282"/>
      <c r="F4" s="282"/>
    </row>
    <row r="5" spans="2:6" s="98" customFormat="1" ht="15.9" customHeight="1" x14ac:dyDescent="0.4">
      <c r="B5" s="285" t="s">
        <v>223</v>
      </c>
      <c r="C5" s="285"/>
      <c r="D5" s="319" t="str">
        <f>NUMERO_PROCESSO</f>
        <v>1.23.000.000855/2020-32</v>
      </c>
      <c r="E5" s="319"/>
      <c r="F5" s="319"/>
    </row>
    <row r="6" spans="2:6" s="98" customFormat="1" ht="15.75" customHeight="1" x14ac:dyDescent="0.4">
      <c r="B6" s="289" t="s">
        <v>224</v>
      </c>
      <c r="C6" s="289"/>
      <c r="D6" s="320" t="str">
        <f>MODALIDADE_DE_LICITACAO</f>
        <v>Pregão nº</v>
      </c>
      <c r="E6" s="320"/>
      <c r="F6" s="118" t="str">
        <f>NUMERO_PREGAO</f>
        <v>XX/20XX</v>
      </c>
    </row>
    <row r="7" spans="2:6" s="99" customFormat="1" ht="15.75" customHeight="1" x14ac:dyDescent="0.45">
      <c r="B7" s="321" t="s">
        <v>58</v>
      </c>
      <c r="C7" s="321"/>
      <c r="D7" s="321"/>
      <c r="E7" s="321"/>
      <c r="F7" s="321"/>
    </row>
    <row r="8" spans="2:6" s="98" customFormat="1" ht="18" customHeight="1" x14ac:dyDescent="0.4">
      <c r="B8" s="25" t="s">
        <v>2</v>
      </c>
      <c r="C8" s="285" t="s">
        <v>63</v>
      </c>
      <c r="D8" s="285"/>
      <c r="E8" s="285"/>
      <c r="F8" s="119" t="str">
        <f>DATA_APRESENTACAO_PROPOSTA</f>
        <v>XX/XX/20XX</v>
      </c>
    </row>
    <row r="9" spans="2:6" s="98" customFormat="1" ht="15.9" customHeight="1" x14ac:dyDescent="0.25">
      <c r="B9" s="1" t="s">
        <v>3</v>
      </c>
      <c r="C9" s="67" t="s">
        <v>36</v>
      </c>
      <c r="D9" s="311" t="s">
        <v>267</v>
      </c>
      <c r="E9" s="311"/>
      <c r="F9" s="311"/>
    </row>
    <row r="10" spans="2:6" s="98" customFormat="1" ht="18.75" customHeight="1" x14ac:dyDescent="0.4">
      <c r="B10" s="25" t="s">
        <v>4</v>
      </c>
      <c r="C10" s="285" t="s">
        <v>37</v>
      </c>
      <c r="D10" s="285"/>
      <c r="E10" s="285"/>
      <c r="F10" s="120" t="str">
        <f>ACORDO_COLETIVO</f>
        <v>CCT 2020/2021</v>
      </c>
    </row>
    <row r="11" spans="2:6" s="98" customFormat="1" ht="15.9" customHeight="1" x14ac:dyDescent="0.4">
      <c r="B11" s="1" t="s">
        <v>5</v>
      </c>
      <c r="C11" s="311" t="s">
        <v>64</v>
      </c>
      <c r="D11" s="311"/>
      <c r="E11" s="311"/>
      <c r="F11" s="121">
        <f>NUMERO_MESES_EXEC_CONTRATUAL</f>
        <v>12</v>
      </c>
    </row>
    <row r="12" spans="2:6" s="98" customFormat="1" x14ac:dyDescent="0.4">
      <c r="B12" s="1" t="s">
        <v>6</v>
      </c>
      <c r="C12" s="312" t="s">
        <v>85</v>
      </c>
      <c r="D12" s="312"/>
      <c r="E12" s="312"/>
      <c r="F12" s="102">
        <v>2</v>
      </c>
    </row>
    <row r="13" spans="2:6" s="98" customFormat="1" ht="7.5" customHeight="1" x14ac:dyDescent="0.4">
      <c r="B13" s="122"/>
      <c r="C13" s="123"/>
      <c r="D13" s="123"/>
      <c r="E13" s="123"/>
      <c r="F13" s="104"/>
    </row>
    <row r="14" spans="2:6" s="98" customFormat="1" ht="21" customHeight="1" x14ac:dyDescent="0.55000000000000004">
      <c r="B14" s="106" t="s">
        <v>205</v>
      </c>
      <c r="C14" s="13"/>
      <c r="D14" s="13"/>
      <c r="E14" s="13"/>
      <c r="F14" s="13"/>
    </row>
    <row r="15" spans="2:6" s="98" customFormat="1" x14ac:dyDescent="0.4">
      <c r="B15" s="25">
        <v>1</v>
      </c>
      <c r="C15" s="243" t="s">
        <v>60</v>
      </c>
      <c r="D15" s="243"/>
      <c r="E15" s="247" t="str">
        <f>TIPO_DE_SERVICO</f>
        <v>Vigilância</v>
      </c>
      <c r="F15" s="247"/>
    </row>
    <row r="16" spans="2:6" s="99" customFormat="1" x14ac:dyDescent="0.4">
      <c r="B16" s="25">
        <v>2</v>
      </c>
      <c r="C16" s="27" t="s">
        <v>59</v>
      </c>
      <c r="D16" s="246" t="str">
        <f>CBO</f>
        <v>5173-30</v>
      </c>
      <c r="E16" s="246"/>
      <c r="F16" s="246"/>
    </row>
    <row r="17" spans="2:6" s="98" customFormat="1" ht="15" customHeight="1" x14ac:dyDescent="0.4">
      <c r="B17" s="25">
        <v>3</v>
      </c>
      <c r="C17" s="56" t="s">
        <v>61</v>
      </c>
      <c r="D17" s="247" t="str">
        <f>CATEGORIA_PROFISSIONAL</f>
        <v>Vigilante</v>
      </c>
      <c r="E17" s="247"/>
      <c r="F17" s="247"/>
    </row>
    <row r="18" spans="2:6" s="98" customFormat="1" ht="15" customHeight="1" x14ac:dyDescent="0.4">
      <c r="B18" s="25">
        <v>4</v>
      </c>
      <c r="C18" s="248" t="s">
        <v>62</v>
      </c>
      <c r="D18" s="248"/>
      <c r="E18" s="248"/>
      <c r="F18" s="135">
        <f>DATA_BASE_CATEGORIA</f>
        <v>43831</v>
      </c>
    </row>
    <row r="19" spans="2:6" s="98" customFormat="1" ht="15" customHeight="1" x14ac:dyDescent="0.4">
      <c r="B19" s="28"/>
      <c r="C19" s="29"/>
      <c r="D19" s="29"/>
      <c r="E19" s="29"/>
      <c r="F19" s="105"/>
    </row>
    <row r="20" spans="2:6" s="124" customFormat="1" ht="30" customHeight="1" x14ac:dyDescent="0.4">
      <c r="B20" s="322" t="s">
        <v>40</v>
      </c>
      <c r="C20" s="322"/>
      <c r="D20" s="322"/>
      <c r="E20" s="322"/>
      <c r="F20" s="322"/>
    </row>
    <row r="21" spans="2:6" x14ac:dyDescent="0.4">
      <c r="B21" s="260" t="s">
        <v>52</v>
      </c>
      <c r="C21" s="260"/>
      <c r="D21" s="260"/>
      <c r="E21" s="260"/>
      <c r="F21" s="117">
        <v>2</v>
      </c>
    </row>
    <row r="22" spans="2:6" x14ac:dyDescent="0.4">
      <c r="B22" s="51" t="s">
        <v>8</v>
      </c>
      <c r="E22" s="14"/>
      <c r="F22" s="14"/>
    </row>
    <row r="23" spans="2:6" x14ac:dyDescent="0.4">
      <c r="B23" s="1">
        <v>1</v>
      </c>
      <c r="C23" s="244" t="s">
        <v>9</v>
      </c>
      <c r="D23" s="323"/>
      <c r="E23" s="245"/>
      <c r="F23" s="4" t="s">
        <v>13</v>
      </c>
    </row>
    <row r="24" spans="2:6" x14ac:dyDescent="0.4">
      <c r="B24" s="1" t="s">
        <v>2</v>
      </c>
      <c r="C24" s="275" t="s">
        <v>92</v>
      </c>
      <c r="D24" s="276"/>
      <c r="E24" s="277"/>
      <c r="F24" s="57">
        <f>SALARIO_BASE</f>
        <v>1401.07</v>
      </c>
    </row>
    <row r="25" spans="2:6" x14ac:dyDescent="0.4">
      <c r="B25" s="1" t="s">
        <v>3</v>
      </c>
      <c r="C25" s="251" t="s">
        <v>94</v>
      </c>
      <c r="D25" s="252"/>
      <c r="E25" s="253"/>
      <c r="F25" s="10">
        <f>PERC_ADIC_PERIC%*SALARIO_BASE</f>
        <v>420.32</v>
      </c>
    </row>
    <row r="26" spans="2:6" x14ac:dyDescent="0.4">
      <c r="B26" s="1" t="s">
        <v>4</v>
      </c>
      <c r="C26" s="305" t="str">
        <f>OUTROS_REMUNERACAO_1_DESCRICAO</f>
        <v>DSR - Adicional noturno - 1/6</v>
      </c>
      <c r="D26" s="306"/>
      <c r="E26" s="307"/>
      <c r="F26" s="57">
        <v>0</v>
      </c>
    </row>
    <row r="27" spans="2:6" x14ac:dyDescent="0.4">
      <c r="B27" s="1" t="s">
        <v>5</v>
      </c>
      <c r="C27" s="305" t="str">
        <f>OUTROS_REMUNERACAO_2_DESCRICAO</f>
        <v>DSR - Hora noturna reduzida - 1/6</v>
      </c>
      <c r="D27" s="306"/>
      <c r="E27" s="307"/>
      <c r="F27" s="10">
        <f>OUTROS_REMUNERACAO_2</f>
        <v>0</v>
      </c>
    </row>
    <row r="28" spans="2:6" x14ac:dyDescent="0.4">
      <c r="B28" s="268" t="s">
        <v>46</v>
      </c>
      <c r="C28" s="269"/>
      <c r="D28" s="269"/>
      <c r="E28" s="270"/>
      <c r="F28" s="40">
        <f>SUM(F24:F27)</f>
        <v>1821.39</v>
      </c>
    </row>
    <row r="29" spans="2:6" x14ac:dyDescent="0.4">
      <c r="B29" s="51" t="s">
        <v>65</v>
      </c>
      <c r="E29" s="21"/>
      <c r="F29" s="21"/>
    </row>
    <row r="30" spans="2:6" x14ac:dyDescent="0.4">
      <c r="B30" s="51" t="s">
        <v>110</v>
      </c>
      <c r="C30" s="12"/>
      <c r="D30" s="22"/>
      <c r="E30" s="20"/>
      <c r="F30" s="20"/>
    </row>
    <row r="31" spans="2:6" x14ac:dyDescent="0.4">
      <c r="B31" s="1" t="s">
        <v>66</v>
      </c>
      <c r="C31" s="268" t="s">
        <v>93</v>
      </c>
      <c r="D31" s="270"/>
      <c r="E31" s="4" t="s">
        <v>1</v>
      </c>
      <c r="F31" s="4" t="s">
        <v>13</v>
      </c>
    </row>
    <row r="32" spans="2:6" x14ac:dyDescent="0.4">
      <c r="B32" s="1" t="s">
        <v>2</v>
      </c>
      <c r="C32" s="275" t="s">
        <v>47</v>
      </c>
      <c r="D32" s="276"/>
      <c r="E32" s="59">
        <f>PERC_DEC_TERC</f>
        <v>8.33</v>
      </c>
      <c r="F32" s="58">
        <f>PERC_DEC_TERC%*MOD_1_REMUNERACAO_12X36_DIU</f>
        <v>151.72</v>
      </c>
    </row>
    <row r="33" spans="2:8" s="17" customFormat="1" x14ac:dyDescent="0.4">
      <c r="B33" s="2" t="s">
        <v>3</v>
      </c>
      <c r="C33" s="251" t="s">
        <v>95</v>
      </c>
      <c r="D33" s="253"/>
      <c r="E33" s="38">
        <f>PERC_ADIC_FERIAS</f>
        <v>2.78</v>
      </c>
      <c r="F33" s="36">
        <f>PERC_ADIC_FERIAS%*MOD_1_REMUNERACAO_12X36_DIU</f>
        <v>50.63</v>
      </c>
    </row>
    <row r="34" spans="2:8" s="107" customFormat="1" x14ac:dyDescent="0.4">
      <c r="B34" s="268" t="s">
        <v>46</v>
      </c>
      <c r="C34" s="269"/>
      <c r="D34" s="269"/>
      <c r="E34" s="270"/>
      <c r="F34" s="41">
        <f>SUM(F32:F33)</f>
        <v>202.35</v>
      </c>
    </row>
    <row r="35" spans="2:8" s="107" customFormat="1" ht="31.5" customHeight="1" x14ac:dyDescent="0.4">
      <c r="B35" s="308" t="s">
        <v>68</v>
      </c>
      <c r="C35" s="308"/>
      <c r="D35" s="308"/>
      <c r="E35" s="308"/>
      <c r="F35" s="308"/>
    </row>
    <row r="36" spans="2:8" s="107" customFormat="1" ht="34.5" customHeight="1" x14ac:dyDescent="0.4">
      <c r="B36" s="1" t="s">
        <v>69</v>
      </c>
      <c r="C36" s="309" t="s">
        <v>96</v>
      </c>
      <c r="D36" s="310"/>
      <c r="E36" s="4" t="s">
        <v>1</v>
      </c>
      <c r="F36" s="4" t="s">
        <v>13</v>
      </c>
    </row>
    <row r="37" spans="2:8" x14ac:dyDescent="0.4">
      <c r="B37" s="1" t="s">
        <v>2</v>
      </c>
      <c r="C37" s="275" t="s">
        <v>41</v>
      </c>
      <c r="D37" s="276"/>
      <c r="E37" s="59">
        <f>PERC_INSS</f>
        <v>20</v>
      </c>
      <c r="F37" s="58">
        <f>PERC_INSS%*(MOD_1_REMUNERACAO_12X36_DIU+SUBMOD_2_1_DEC_TERC_ADIC_FERIAS_12X36_DIU)</f>
        <v>404.75</v>
      </c>
    </row>
    <row r="38" spans="2:8" s="98" customFormat="1" x14ac:dyDescent="0.4">
      <c r="B38" s="2" t="s">
        <v>3</v>
      </c>
      <c r="C38" s="251" t="s">
        <v>43</v>
      </c>
      <c r="D38" s="253"/>
      <c r="E38" s="46">
        <f>PERC_SAL_EDUCACAO</f>
        <v>2.5</v>
      </c>
      <c r="F38" s="36">
        <f>PERC_SAL_EDUCACAO%*(MOD_1_REMUNERACAO_12X36_DIU+SUBMOD_2_1_DEC_TERC_ADIC_FERIAS_12X36_DIU)</f>
        <v>50.59</v>
      </c>
      <c r="G38" s="13"/>
      <c r="H38" s="13"/>
    </row>
    <row r="39" spans="2:8" s="98" customFormat="1" x14ac:dyDescent="0.4">
      <c r="B39" s="2" t="s">
        <v>4</v>
      </c>
      <c r="C39" s="275" t="s">
        <v>236</v>
      </c>
      <c r="D39" s="276"/>
      <c r="E39" s="59">
        <f>PERC_RAT</f>
        <v>6</v>
      </c>
      <c r="F39" s="58">
        <f>PERC_RAT%*(MOD_1_REMUNERACAO_12X36_DIU+SUBMOD_2_1_DEC_TERC_ADIC_FERIAS_12X36_DIU)</f>
        <v>121.42</v>
      </c>
      <c r="G39" s="13"/>
      <c r="H39" s="13"/>
    </row>
    <row r="40" spans="2:8" s="98" customFormat="1" x14ac:dyDescent="0.4">
      <c r="B40" s="2" t="s">
        <v>5</v>
      </c>
      <c r="C40" s="251" t="s">
        <v>88</v>
      </c>
      <c r="D40" s="253"/>
      <c r="E40" s="38">
        <f>PERC_SESC</f>
        <v>1.5</v>
      </c>
      <c r="F40" s="36">
        <f>PERC_SESC%*(MOD_1_REMUNERACAO_12X36_DIU+SUBMOD_2_1_DEC_TERC_ADIC_FERIAS_12X36_DIU)</f>
        <v>30.36</v>
      </c>
      <c r="G40" s="13"/>
      <c r="H40" s="13"/>
    </row>
    <row r="41" spans="2:8" s="98" customFormat="1" x14ac:dyDescent="0.4">
      <c r="B41" s="2" t="s">
        <v>6</v>
      </c>
      <c r="C41" s="275" t="s">
        <v>89</v>
      </c>
      <c r="D41" s="276"/>
      <c r="E41" s="59">
        <f>PERC_SENAC</f>
        <v>1</v>
      </c>
      <c r="F41" s="58">
        <f>PERC_SENAC%*(MOD_1_REMUNERACAO_12X36_DIU+SUBMOD_2_1_DEC_TERC_ADIC_FERIAS_12X36_DIU)</f>
        <v>20.239999999999998</v>
      </c>
      <c r="G41" s="13"/>
      <c r="H41" s="13"/>
    </row>
    <row r="42" spans="2:8" s="99" customFormat="1" x14ac:dyDescent="0.4">
      <c r="B42" s="2" t="s">
        <v>7</v>
      </c>
      <c r="C42" s="251" t="s">
        <v>45</v>
      </c>
      <c r="D42" s="253"/>
      <c r="E42" s="46">
        <f>PERC_SEBRAE</f>
        <v>0.6</v>
      </c>
      <c r="F42" s="36">
        <f>PERC_SEBRAE%*(MOD_1_REMUNERACAO_12X36_DIU+SUBMOD_2_1_DEC_TERC_ADIC_FERIAS_12X36_DIU)</f>
        <v>12.14</v>
      </c>
      <c r="G42" s="13"/>
      <c r="H42" s="13"/>
    </row>
    <row r="43" spans="2:8" s="99" customFormat="1" x14ac:dyDescent="0.4">
      <c r="B43" s="2" t="s">
        <v>10</v>
      </c>
      <c r="C43" s="275" t="s">
        <v>42</v>
      </c>
      <c r="D43" s="276"/>
      <c r="E43" s="59">
        <f>PERC_INCRA</f>
        <v>0.2</v>
      </c>
      <c r="F43" s="58">
        <f>PERC_INCRA%*(MOD_1_REMUNERACAO_12X36_DIU+SUBMOD_2_1_DEC_TERC_ADIC_FERIAS_12X36_DIU)</f>
        <v>4.05</v>
      </c>
      <c r="G43" s="13"/>
      <c r="H43" s="13"/>
    </row>
    <row r="44" spans="2:8" x14ac:dyDescent="0.4">
      <c r="B44" s="2" t="s">
        <v>11</v>
      </c>
      <c r="C44" s="251" t="s">
        <v>44</v>
      </c>
      <c r="D44" s="253"/>
      <c r="E44" s="46">
        <f>PERC_FGTS</f>
        <v>8</v>
      </c>
      <c r="F44" s="36">
        <f>PERC_FGTS%*(MOD_1_REMUNERACAO_12X36_DIU+SUBMOD_2_1_DEC_TERC_ADIC_FERIAS_12X36_DIU)</f>
        <v>161.9</v>
      </c>
    </row>
    <row r="45" spans="2:8" x14ac:dyDescent="0.4">
      <c r="B45" s="268" t="s">
        <v>46</v>
      </c>
      <c r="C45" s="269"/>
      <c r="D45" s="269"/>
      <c r="E45" s="270"/>
      <c r="F45" s="42">
        <f>SUM(F37:F44)</f>
        <v>805.45</v>
      </c>
    </row>
    <row r="46" spans="2:8" ht="15.75" customHeight="1" x14ac:dyDescent="0.4">
      <c r="B46" s="51" t="s">
        <v>71</v>
      </c>
      <c r="C46" s="99"/>
      <c r="D46" s="99"/>
      <c r="E46" s="99"/>
      <c r="F46" s="99"/>
    </row>
    <row r="47" spans="2:8" ht="15.75" customHeight="1" x14ac:dyDescent="0.4">
      <c r="B47" s="1" t="s">
        <v>90</v>
      </c>
      <c r="C47" s="268" t="s">
        <v>14</v>
      </c>
      <c r="D47" s="269"/>
      <c r="E47" s="270"/>
      <c r="F47" s="4" t="s">
        <v>13</v>
      </c>
    </row>
    <row r="48" spans="2:8" x14ac:dyDescent="0.4">
      <c r="B48" s="25" t="s">
        <v>2</v>
      </c>
      <c r="C48" s="275" t="s">
        <v>15</v>
      </c>
      <c r="D48" s="276"/>
      <c r="E48" s="277"/>
      <c r="F48" s="58">
        <f>IF((((3*2)*DIAS_TRABALHADOS_NO_MES_12X36)-(PERC_DESC_TRANSP_REMUNERACAO%*(AL_1_A_SAL_BASE_12X36_DIU/2)))&gt;0,(((3*2)*DIAS_TRABALHADOS_NO_MES_12X36)-(PERC_DESC_TRANSP_REMUNERACAO%*(AL_1_A_SAL_BASE_12X36_DIU/2))),0)</f>
        <v>47.97</v>
      </c>
      <c r="G48" s="145"/>
    </row>
    <row r="49" spans="2:7" s="107" customFormat="1" x14ac:dyDescent="0.4">
      <c r="B49" s="25" t="s">
        <v>3</v>
      </c>
      <c r="C49" s="251" t="s">
        <v>70</v>
      </c>
      <c r="D49" s="252"/>
      <c r="E49" s="253"/>
      <c r="F49" s="36">
        <f>ALIMENTACAO_POR_DIA*DIAS_TRABALHADOS_NO_MES_12X36*0.99</f>
        <v>386.1</v>
      </c>
      <c r="G49" s="13"/>
    </row>
    <row r="50" spans="2:7" s="107" customFormat="1" x14ac:dyDescent="0.4">
      <c r="B50" s="25" t="s">
        <v>4</v>
      </c>
      <c r="C50" s="275" t="str">
        <f>OUTROS_BENEFICIOS_1_DESCRICAO</f>
        <v>Auxílio saúde</v>
      </c>
      <c r="D50" s="276"/>
      <c r="E50" s="277"/>
      <c r="F50" s="58"/>
      <c r="G50" s="13"/>
    </row>
    <row r="51" spans="2:7" s="107" customFormat="1" x14ac:dyDescent="0.4">
      <c r="B51" s="25" t="s">
        <v>5</v>
      </c>
      <c r="C51" s="305" t="str">
        <f>OUTROS_BENEFICIOS_2_DESCRICAO</f>
        <v>Auxílio morte/funeral</v>
      </c>
      <c r="D51" s="306"/>
      <c r="E51" s="307"/>
      <c r="F51" s="36"/>
      <c r="G51" s="13"/>
    </row>
    <row r="52" spans="2:7" s="107" customFormat="1" x14ac:dyDescent="0.4">
      <c r="B52" s="25" t="s">
        <v>6</v>
      </c>
      <c r="C52" s="275" t="str">
        <f>OUTROS_BENEFICIOS_3_DESCRICAO</f>
        <v>Seguro de vida</v>
      </c>
      <c r="D52" s="276"/>
      <c r="E52" s="277"/>
      <c r="F52" s="58"/>
    </row>
    <row r="53" spans="2:7" s="107" customFormat="1" ht="15" customHeight="1" x14ac:dyDescent="0.4">
      <c r="B53" s="268" t="s">
        <v>46</v>
      </c>
      <c r="C53" s="269"/>
      <c r="D53" s="269"/>
      <c r="E53" s="270"/>
      <c r="F53" s="40">
        <f>SUM(F48:F52)</f>
        <v>434.07</v>
      </c>
    </row>
    <row r="54" spans="2:7" s="107" customFormat="1" x14ac:dyDescent="0.4">
      <c r="B54" s="51" t="s">
        <v>72</v>
      </c>
      <c r="C54" s="12"/>
      <c r="D54" s="22"/>
      <c r="E54" s="20"/>
      <c r="F54" s="20"/>
    </row>
    <row r="55" spans="2:7" s="107" customFormat="1" ht="15" customHeight="1" x14ac:dyDescent="0.4">
      <c r="B55" s="1">
        <v>3</v>
      </c>
      <c r="C55" s="260" t="s">
        <v>48</v>
      </c>
      <c r="D55" s="260"/>
      <c r="E55" s="4" t="s">
        <v>1</v>
      </c>
      <c r="F55" s="4" t="s">
        <v>13</v>
      </c>
    </row>
    <row r="56" spans="2:7" s="107" customFormat="1" x14ac:dyDescent="0.4">
      <c r="B56" s="1" t="s">
        <v>2</v>
      </c>
      <c r="C56" s="301" t="s">
        <v>49</v>
      </c>
      <c r="D56" s="301"/>
      <c r="E56" s="59">
        <f>PERC_AVISO_PREVIO_IND</f>
        <v>0.28999999999999998</v>
      </c>
      <c r="F56" s="58">
        <f>PERC_AVISO_PREVIO_IND%*(MOD_1_REMUNERACAO_12X36_DIU+SUBMOD_2_1_DEC_TERC_ADIC_FERIAS_12X36_DIU+AL_2_2_FGTS_12X36_DIU+SUBMOD_2_3_BENEFICIOS_12X36_DIU)</f>
        <v>7.6</v>
      </c>
    </row>
    <row r="57" spans="2:7" s="107" customFormat="1" x14ac:dyDescent="0.4">
      <c r="B57" s="2" t="s">
        <v>3</v>
      </c>
      <c r="C57" s="303" t="s">
        <v>50</v>
      </c>
      <c r="D57" s="303"/>
      <c r="E57" s="46">
        <f>PERC_AVISO_PREVIO_TRAB</f>
        <v>1.1599999999999999</v>
      </c>
      <c r="F57" s="36">
        <f>PERC_AVISO_PREVIO_TRAB%*(MOD_1_REMUNERACAO_12X36_DIU+SUBMOD_2_1_DEC_TERC_ADIC_FERIAS_12X36_DIU+SUBMOD_2_2_GPS_FGTS_12X36_DIU+SUBMOD_2_3_BENEFICIOS_12X36_DIU)</f>
        <v>37.85</v>
      </c>
    </row>
    <row r="58" spans="2:7" s="98" customFormat="1" x14ac:dyDescent="0.25">
      <c r="B58" s="2" t="s">
        <v>4</v>
      </c>
      <c r="C58" s="301" t="s">
        <v>232</v>
      </c>
      <c r="D58" s="301"/>
      <c r="E58" s="59">
        <f>PERC_MULTA_FGTS_AV_PREV_TRAB</f>
        <v>0.04</v>
      </c>
      <c r="F58" s="58">
        <f>PERC_MULTA_FGTS_AV_PREV_TRAB%*(MOD_1_REMUNERACAO_12X36_DIU+SUBMOD_2_1_DEC_TERC_ADIC_FERIAS_12X36_DIU)</f>
        <v>0.81</v>
      </c>
    </row>
    <row r="59" spans="2:7" s="98" customFormat="1" x14ac:dyDescent="0.4">
      <c r="B59" s="268" t="s">
        <v>46</v>
      </c>
      <c r="C59" s="269"/>
      <c r="D59" s="269"/>
      <c r="E59" s="270"/>
      <c r="F59" s="41">
        <f>SUM(F56:F58)</f>
        <v>46.26</v>
      </c>
    </row>
    <row r="60" spans="2:7" ht="7.5" customHeight="1" x14ac:dyDescent="0.4">
      <c r="B60" s="16"/>
      <c r="C60" s="17"/>
      <c r="D60" s="18"/>
      <c r="E60" s="14"/>
      <c r="F60" s="14"/>
    </row>
    <row r="61" spans="2:7" s="98" customFormat="1" ht="15.9" customHeight="1" x14ac:dyDescent="0.4">
      <c r="B61" s="51" t="s">
        <v>73</v>
      </c>
      <c r="C61" s="12"/>
      <c r="D61" s="22"/>
      <c r="E61" s="13"/>
      <c r="F61" s="13"/>
    </row>
    <row r="62" spans="2:7" s="98" customFormat="1" ht="15.9" customHeight="1" x14ac:dyDescent="0.4">
      <c r="B62" s="51" t="s">
        <v>102</v>
      </c>
      <c r="C62" s="12"/>
      <c r="D62" s="22"/>
      <c r="E62" s="20"/>
      <c r="F62" s="20"/>
    </row>
    <row r="63" spans="2:7" s="98" customFormat="1" x14ac:dyDescent="0.25">
      <c r="B63" s="1" t="s">
        <v>18</v>
      </c>
      <c r="C63" s="302" t="s">
        <v>103</v>
      </c>
      <c r="D63" s="302"/>
      <c r="E63" s="4" t="s">
        <v>1</v>
      </c>
      <c r="F63" s="4" t="s">
        <v>13</v>
      </c>
    </row>
    <row r="64" spans="2:7" s="98" customFormat="1" ht="15.9" customHeight="1" x14ac:dyDescent="0.25">
      <c r="B64" s="2" t="s">
        <v>2</v>
      </c>
      <c r="C64" s="298" t="s">
        <v>104</v>
      </c>
      <c r="D64" s="298"/>
      <c r="E64" s="59">
        <f>PERC_SUBSTITUTO_FERIAS</f>
        <v>8.33</v>
      </c>
      <c r="F64" s="58">
        <f>PERC_SUBSTITUTO_FERIAS%*(MOD_1_REMUNERACAO_12X36_DIU+MOD_2_ENCARGOS_BENEFICIOS_12X36_DIU+MOD_3_PROVISAO_RESCISAO_12X36_DIU)</f>
        <v>275.68</v>
      </c>
    </row>
    <row r="65" spans="2:7" s="98" customFormat="1" ht="15.9" customHeight="1" x14ac:dyDescent="0.25">
      <c r="B65" s="2" t="s">
        <v>3</v>
      </c>
      <c r="C65" s="300" t="s">
        <v>105</v>
      </c>
      <c r="D65" s="300"/>
      <c r="E65" s="46">
        <f>PERC_SUBSTITUTO_AUSENCIAS_LEGAIS</f>
        <v>2.2200000000000002</v>
      </c>
      <c r="F65" s="36">
        <f>PERC_SUBSTITUTO_AUSENCIAS_LEGAIS%*(MOD_1_REMUNERACAO_12X36_DIU+MOD_2_ENCARGOS_BENEFICIOS_12X36_DIU+MOD_3_PROVISAO_RESCISAO_12X36_DIU)</f>
        <v>73.47</v>
      </c>
    </row>
    <row r="66" spans="2:7" s="98" customFormat="1" ht="15.9" customHeight="1" x14ac:dyDescent="0.25">
      <c r="B66" s="2" t="s">
        <v>4</v>
      </c>
      <c r="C66" s="298" t="s">
        <v>106</v>
      </c>
      <c r="D66" s="298"/>
      <c r="E66" s="59">
        <f>PERC_SUBSTITUTO_LICENCA_PATERNIDADE</f>
        <v>7.0000000000000007E-2</v>
      </c>
      <c r="F66" s="58">
        <f>PERC_SUBSTITUTO_LICENCA_PATERNIDADE%*(MOD_1_REMUNERACAO_12X36_DIU+MOD_2_ENCARGOS_BENEFICIOS_12X36_DIU+MOD_3_PROVISAO_RESCISAO_12X36_DIU)</f>
        <v>2.3199999999999998</v>
      </c>
    </row>
    <row r="67" spans="2:7" s="98" customFormat="1" x14ac:dyDescent="0.25">
      <c r="B67" s="2" t="s">
        <v>5</v>
      </c>
      <c r="C67" s="300" t="s">
        <v>107</v>
      </c>
      <c r="D67" s="300"/>
      <c r="E67" s="46">
        <f>PERC_SUBSTITUTO_ACID_TRAB</f>
        <v>0.02</v>
      </c>
      <c r="F67" s="36">
        <f>PERC_SUBSTITUTO_ACID_TRAB%*(MOD_1_REMUNERACAO_12X36_DIU+MOD_2_ENCARGOS_BENEFICIOS_12X36_DIU+MOD_3_PROVISAO_RESCISAO_12X36_DIU)</f>
        <v>0.66</v>
      </c>
    </row>
    <row r="68" spans="2:7" s="98" customFormat="1" x14ac:dyDescent="0.25">
      <c r="B68" s="2" t="s">
        <v>6</v>
      </c>
      <c r="C68" s="298" t="s">
        <v>108</v>
      </c>
      <c r="D68" s="298"/>
      <c r="E68" s="59">
        <f>PERC_SUBSTITUTO_AFAST_MATERN</f>
        <v>0.04</v>
      </c>
      <c r="F68" s="58">
        <f>PERC_SUBSTITUTO_AFAST_MATERN%*(MOD_1_REMUNERACAO_12X36_DIU+MOD_2_ENCARGOS_BENEFICIOS_12X36_DIU+MOD_3_PROVISAO_RESCISAO_12X36_DIU)</f>
        <v>1.32</v>
      </c>
    </row>
    <row r="69" spans="2:7" s="98" customFormat="1" x14ac:dyDescent="0.25">
      <c r="B69" s="2" t="s">
        <v>7</v>
      </c>
      <c r="C69" s="325" t="str">
        <f>OUTRAS_AUSENCIAS_DESCRICAO</f>
        <v>Outras Ausências (Especificar - em %)</v>
      </c>
      <c r="D69" s="300"/>
      <c r="E69" s="53">
        <f>PERC_SUBSTITUTO_OUTRAS_AUSENCIAS</f>
        <v>0</v>
      </c>
      <c r="F69" s="36">
        <f>PERC_SUBSTITUTO_OUTRAS_AUSENCIAS%*(MOD_1_REMUNERACAO_12X36_DIU+MOD_2_ENCARGOS_BENEFICIOS_12X36_DIU+MOD_3_PROVISAO_RESCISAO_12X36_DIU)</f>
        <v>0</v>
      </c>
    </row>
    <row r="70" spans="2:7" s="98" customFormat="1" x14ac:dyDescent="0.4">
      <c r="B70" s="268" t="s">
        <v>46</v>
      </c>
      <c r="C70" s="269"/>
      <c r="D70" s="269"/>
      <c r="E70" s="270"/>
      <c r="F70" s="41">
        <f>SUM(F64:F69)</f>
        <v>353.45</v>
      </c>
    </row>
    <row r="71" spans="2:7" s="98" customFormat="1" ht="15" customHeight="1" x14ac:dyDescent="0.4">
      <c r="B71" s="51" t="s">
        <v>226</v>
      </c>
      <c r="C71" s="12"/>
      <c r="D71" s="22"/>
      <c r="E71" s="20"/>
      <c r="F71" s="20"/>
    </row>
    <row r="72" spans="2:7" s="98" customFormat="1" x14ac:dyDescent="0.25">
      <c r="B72" s="1" t="s">
        <v>19</v>
      </c>
      <c r="C72" s="260" t="s">
        <v>225</v>
      </c>
      <c r="D72" s="260"/>
      <c r="E72" s="260"/>
      <c r="F72" s="4" t="s">
        <v>13</v>
      </c>
    </row>
    <row r="73" spans="2:7" s="98" customFormat="1" x14ac:dyDescent="0.25">
      <c r="B73" s="1" t="s">
        <v>2</v>
      </c>
      <c r="C73" s="298" t="s">
        <v>109</v>
      </c>
      <c r="D73" s="298"/>
      <c r="E73" s="298"/>
      <c r="F73" s="57">
        <f>((MOD_1_REMUNERACAO_12X36_DIU+MOD_2_ENCARGOS_BENEFICIOS_12X36_DIU+MOD_3_PROVISAO_RESCISAO_12X36_DIU)/DIVISOR_DE_HORAS)*((TEMPO_INTERVALO_REFEICAO/HORA_NORMAL))*DIAS_TRABALHADOS_NO_MES_12X36</f>
        <v>225.65</v>
      </c>
      <c r="G73" s="140"/>
    </row>
    <row r="74" spans="2:7" s="98" customFormat="1" x14ac:dyDescent="0.4">
      <c r="B74" s="260" t="s">
        <v>46</v>
      </c>
      <c r="C74" s="260"/>
      <c r="D74" s="260"/>
      <c r="E74" s="260"/>
      <c r="F74" s="41">
        <f>SUM(F73)</f>
        <v>225.65</v>
      </c>
    </row>
    <row r="75" spans="2:7" ht="7.5" customHeight="1" x14ac:dyDescent="0.4">
      <c r="B75" s="16"/>
      <c r="C75" s="17"/>
      <c r="D75" s="18"/>
      <c r="E75" s="14"/>
      <c r="F75" s="14"/>
    </row>
    <row r="76" spans="2:7" x14ac:dyDescent="0.4">
      <c r="B76" s="51" t="s">
        <v>77</v>
      </c>
      <c r="C76" s="12"/>
      <c r="D76" s="12"/>
      <c r="E76" s="20"/>
      <c r="F76" s="20"/>
    </row>
    <row r="77" spans="2:7" ht="15.75" customHeight="1" x14ac:dyDescent="0.4">
      <c r="B77" s="49">
        <v>5</v>
      </c>
      <c r="C77" s="271" t="s">
        <v>0</v>
      </c>
      <c r="D77" s="271"/>
      <c r="E77" s="271"/>
      <c r="F77" s="50" t="s">
        <v>13</v>
      </c>
    </row>
    <row r="78" spans="2:7" x14ac:dyDescent="0.4">
      <c r="B78" s="44" t="s">
        <v>2</v>
      </c>
      <c r="C78" s="272" t="s">
        <v>16</v>
      </c>
      <c r="D78" s="272"/>
      <c r="E78" s="272"/>
      <c r="F78" s="60">
        <f>UNIFORMES</f>
        <v>244.71</v>
      </c>
    </row>
    <row r="79" spans="2:7" x14ac:dyDescent="0.4">
      <c r="B79" s="44" t="s">
        <v>3</v>
      </c>
      <c r="C79" s="273" t="s">
        <v>285</v>
      </c>
      <c r="D79" s="273"/>
      <c r="E79" s="273"/>
      <c r="F79" s="47">
        <f>MATERIAIS</f>
        <v>77.400000000000006</v>
      </c>
    </row>
    <row r="80" spans="2:7" x14ac:dyDescent="0.4">
      <c r="B80" s="44" t="s">
        <v>4</v>
      </c>
      <c r="C80" s="272" t="s">
        <v>286</v>
      </c>
      <c r="D80" s="272"/>
      <c r="E80" s="272"/>
      <c r="F80" s="60">
        <f>EQUIPAMENTOS</f>
        <v>8.09</v>
      </c>
    </row>
    <row r="81" spans="2:8" x14ac:dyDescent="0.4">
      <c r="B81" s="44" t="s">
        <v>5</v>
      </c>
      <c r="C81" s="324" t="str">
        <f>OUTROS_INSUMOS_DESCRICAO</f>
        <v>Outros (Especificar)</v>
      </c>
      <c r="D81" s="273"/>
      <c r="E81" s="273"/>
      <c r="F81" s="47">
        <f>OUTROS_INSUMOS</f>
        <v>0</v>
      </c>
    </row>
    <row r="82" spans="2:8" x14ac:dyDescent="0.4">
      <c r="B82" s="328" t="s">
        <v>46</v>
      </c>
      <c r="C82" s="328"/>
      <c r="D82" s="328"/>
      <c r="E82" s="328"/>
      <c r="F82" s="43">
        <f>SUM(F78:F81)</f>
        <v>330.2</v>
      </c>
    </row>
    <row r="83" spans="2:8" ht="7.5" customHeight="1" x14ac:dyDescent="0.4">
      <c r="B83" s="16"/>
      <c r="C83" s="17"/>
      <c r="D83" s="18"/>
      <c r="E83" s="14"/>
      <c r="F83" s="14"/>
    </row>
    <row r="84" spans="2:8" ht="15" customHeight="1" x14ac:dyDescent="0.4">
      <c r="B84" s="264" t="s">
        <v>76</v>
      </c>
      <c r="C84" s="264"/>
      <c r="D84" s="264"/>
      <c r="E84" s="264"/>
      <c r="F84" s="264"/>
    </row>
    <row r="85" spans="2:8" x14ac:dyDescent="0.4">
      <c r="B85" s="1">
        <v>6</v>
      </c>
      <c r="C85" s="260" t="s">
        <v>20</v>
      </c>
      <c r="D85" s="260"/>
      <c r="E85" s="4" t="s">
        <v>1</v>
      </c>
      <c r="F85" s="4" t="s">
        <v>13</v>
      </c>
    </row>
    <row r="86" spans="2:8" x14ac:dyDescent="0.4">
      <c r="B86" s="1" t="s">
        <v>2</v>
      </c>
      <c r="C86" s="298" t="s">
        <v>78</v>
      </c>
      <c r="D86" s="298"/>
      <c r="E86" s="61">
        <f>PERC_CUSTOS_INDIRETOS</f>
        <v>4.8499999999999996</v>
      </c>
      <c r="F86" s="58">
        <f>PERC_CUSTOS_INDIRETOS%*(MOD_1_REMUNERACAO_12X36_DIU+MOD_2_ENCARGOS_BENEFICIOS_12X36_DIU+MOD_3_PROVISAO_RESCISAO_12X36_DIU+MOD_4_CUSTO_REPOSICAO_12X36_DIU+MOD_5_INSUMOS_12X36_DIU)</f>
        <v>204.61</v>
      </c>
    </row>
    <row r="87" spans="2:8" ht="15.75" customHeight="1" x14ac:dyDescent="0.4">
      <c r="B87" s="2" t="s">
        <v>3</v>
      </c>
      <c r="C87" s="300" t="s">
        <v>32</v>
      </c>
      <c r="D87" s="300"/>
      <c r="E87" s="48">
        <f>PERC_LUCRO</f>
        <v>5.45</v>
      </c>
      <c r="F87" s="36">
        <f>PERC_LUCRO%*(MOD_1_REMUNERACAO_12X36_DIU+MOD_2_ENCARGOS_BENEFICIOS_12X36_DIU+MOD_3_PROVISAO_RESCISAO_12X36_DIU+MOD_4_CUSTO_REPOSICAO_12X36_DIU+MOD_5_INSUMOS_12X36_DIU+AL_6_A_CUSTOS_INDIRETOS_12X36_DIU)</f>
        <v>241.08</v>
      </c>
    </row>
    <row r="88" spans="2:8" x14ac:dyDescent="0.4">
      <c r="B88" s="2" t="s">
        <v>4</v>
      </c>
      <c r="C88" s="298" t="s">
        <v>21</v>
      </c>
      <c r="D88" s="298"/>
      <c r="E88" s="61">
        <f>SUM(E89:E91)</f>
        <v>8.65</v>
      </c>
      <c r="F88" s="58">
        <f>SUM(F89:F91)</f>
        <v>441.69</v>
      </c>
    </row>
    <row r="89" spans="2:8" ht="15.75" customHeight="1" x14ac:dyDescent="0.4">
      <c r="B89" s="30" t="s">
        <v>79</v>
      </c>
      <c r="C89" s="326" t="s">
        <v>23</v>
      </c>
      <c r="D89" s="326"/>
      <c r="E89" s="31">
        <f>PERC_PIS</f>
        <v>0.65</v>
      </c>
      <c r="F89" s="63">
        <f>((MOD_1_REMUNERACAO_12X36_DIU+MOD_2_ENCARGOS_BENEFICIOS_12X36_DIU+MOD_3_PROVISAO_RESCISAO_12X36_DIU+MOD_4_CUSTO_REPOSICAO_12X36_DIU+MOD_5_INSUMOS_12X36_DIU+AL_6_A_CUSTOS_INDIRETOS_12X36_DIU+AL_6_B_LUCRO_12X36_DIU)*PERC_PIS%)/(1-PERC_TRIBUTOS%)</f>
        <v>33.19</v>
      </c>
    </row>
    <row r="90" spans="2:8" x14ac:dyDescent="0.4">
      <c r="B90" s="30" t="s">
        <v>80</v>
      </c>
      <c r="C90" s="327" t="s">
        <v>24</v>
      </c>
      <c r="D90" s="327"/>
      <c r="E90" s="62">
        <f>PERC_COFINS</f>
        <v>3</v>
      </c>
      <c r="F90" s="64">
        <f>((MOD_1_REMUNERACAO_12X36_DIU+MOD_2_ENCARGOS_BENEFICIOS_12X36_DIU+MOD_3_PROVISAO_RESCISAO_12X36_DIU+MOD_4_CUSTO_REPOSICAO_12X36_DIU+MOD_5_INSUMOS_12X36_DIU+AL_6_A_CUSTOS_INDIRETOS_12X36_DIU+AL_6_B_LUCRO_12X36_DIU)*PERC_COFINS%)/(1-PERC_TRIBUTOS%)</f>
        <v>153.19</v>
      </c>
    </row>
    <row r="91" spans="2:8" s="108" customFormat="1" x14ac:dyDescent="0.4">
      <c r="B91" s="30" t="s">
        <v>81</v>
      </c>
      <c r="C91" s="326" t="s">
        <v>25</v>
      </c>
      <c r="D91" s="326"/>
      <c r="E91" s="31">
        <f>PERC_ISS</f>
        <v>5</v>
      </c>
      <c r="F91" s="63">
        <f>((MOD_1_REMUNERACAO_12X36_DIU+MOD_2_ENCARGOS_BENEFICIOS_12X36_DIU+MOD_3_PROVISAO_RESCISAO_12X36_DIU+MOD_4_CUSTO_REPOSICAO_12X36_DIU+MOD_5_INSUMOS_12X36_DIU+AL_6_A_CUSTOS_INDIRETOS_12X36_DIU+AL_6_B_LUCRO_12X36_DIU)*PERC_ISS%)/(1-PERC_TRIBUTOS%)</f>
        <v>255.31</v>
      </c>
      <c r="H91" s="13"/>
    </row>
    <row r="92" spans="2:8" s="108" customFormat="1" x14ac:dyDescent="0.4">
      <c r="B92" s="268" t="s">
        <v>46</v>
      </c>
      <c r="C92" s="269"/>
      <c r="D92" s="269"/>
      <c r="E92" s="270"/>
      <c r="F92" s="37">
        <f>AL_6_A_CUSTOS_INDIRETOS_12X36_DIU+AL_6_B_LUCRO_12X36_DIU+AL_6_C_TRIBUTOS_12X36_DIU</f>
        <v>887.38</v>
      </c>
    </row>
    <row r="93" spans="2:8" s="108" customFormat="1" x14ac:dyDescent="0.4">
      <c r="B93" s="264" t="s">
        <v>261</v>
      </c>
      <c r="C93" s="264"/>
      <c r="D93" s="264"/>
      <c r="E93" s="264"/>
      <c r="F93" s="264"/>
    </row>
    <row r="94" spans="2:8" s="108" customFormat="1" x14ac:dyDescent="0.4">
      <c r="B94" s="147" t="s">
        <v>2</v>
      </c>
      <c r="C94" s="275" t="str">
        <f>'INSERÇÃO-DE-DADOS'!C85:E85</f>
        <v>Dia do Vigilante - Clausula 82ª CCT - Jornada 12x36 diurno</v>
      </c>
      <c r="D94" s="276"/>
      <c r="E94" s="277"/>
      <c r="F94" s="57">
        <f>'INSERÇÃO-DE-DADOS'!F85</f>
        <v>8.2799999999999994</v>
      </c>
    </row>
    <row r="95" spans="2:8" s="108" customFormat="1" ht="16.5" customHeight="1" x14ac:dyDescent="0.4">
      <c r="B95" s="52" t="s">
        <v>53</v>
      </c>
      <c r="C95" s="15"/>
      <c r="D95" s="15"/>
      <c r="E95" s="15"/>
      <c r="F95" s="23"/>
    </row>
    <row r="96" spans="2:8" s="109" customFormat="1" ht="16.5" customHeight="1" x14ac:dyDescent="0.4">
      <c r="B96" s="2" t="s">
        <v>98</v>
      </c>
      <c r="C96" s="257" t="s">
        <v>99</v>
      </c>
      <c r="D96" s="258"/>
      <c r="E96" s="259"/>
      <c r="F96" s="4" t="s">
        <v>17</v>
      </c>
      <c r="H96" s="128"/>
    </row>
    <row r="97" spans="2:8" s="108" customFormat="1" x14ac:dyDescent="0.4">
      <c r="B97" s="1">
        <v>1</v>
      </c>
      <c r="C97" s="298" t="s">
        <v>9</v>
      </c>
      <c r="D97" s="298"/>
      <c r="E97" s="298"/>
      <c r="F97" s="58">
        <f>MOD_1_REMUNERACAO_12X36_DIU</f>
        <v>1821.39</v>
      </c>
    </row>
    <row r="98" spans="2:8" s="110" customFormat="1" ht="16.5" customHeight="1" x14ac:dyDescent="0.4">
      <c r="B98" s="2">
        <v>2</v>
      </c>
      <c r="C98" s="300" t="s">
        <v>100</v>
      </c>
      <c r="D98" s="300"/>
      <c r="E98" s="300"/>
      <c r="F98" s="36">
        <f>MOD_2_ENCARGOS_BENEFICIOS_12X36_DIU</f>
        <v>1441.87</v>
      </c>
    </row>
    <row r="99" spans="2:8" s="110" customFormat="1" x14ac:dyDescent="0.4">
      <c r="B99" s="2">
        <v>3</v>
      </c>
      <c r="C99" s="298" t="s">
        <v>48</v>
      </c>
      <c r="D99" s="298"/>
      <c r="E99" s="298"/>
      <c r="F99" s="58">
        <f>MOD_3_PROVISAO_RESCISAO_12X36_DIU</f>
        <v>46.26</v>
      </c>
    </row>
    <row r="100" spans="2:8" s="110" customFormat="1" x14ac:dyDescent="0.4">
      <c r="B100" s="2">
        <v>4</v>
      </c>
      <c r="C100" s="300" t="s">
        <v>51</v>
      </c>
      <c r="D100" s="300"/>
      <c r="E100" s="300"/>
      <c r="F100" s="36">
        <f>MOD_4_CUSTO_REPOSICAO_12X36_DIU</f>
        <v>579.1</v>
      </c>
    </row>
    <row r="101" spans="2:8" s="110" customFormat="1" x14ac:dyDescent="0.4">
      <c r="B101" s="2">
        <v>5</v>
      </c>
      <c r="C101" s="298" t="s">
        <v>0</v>
      </c>
      <c r="D101" s="298"/>
      <c r="E101" s="298"/>
      <c r="F101" s="58">
        <f>MOD_5_INSUMOS_12X36_DIU</f>
        <v>330.2</v>
      </c>
    </row>
    <row r="102" spans="2:8" s="110" customFormat="1" x14ac:dyDescent="0.4">
      <c r="B102" s="2">
        <v>6</v>
      </c>
      <c r="C102" s="300" t="s">
        <v>20</v>
      </c>
      <c r="D102" s="300"/>
      <c r="E102" s="300"/>
      <c r="F102" s="36">
        <f>MOD_6_CUSTOS_IND_LUCRO_TRIB_12X36_DIU</f>
        <v>887.38</v>
      </c>
    </row>
    <row r="103" spans="2:8" s="110" customFormat="1" x14ac:dyDescent="0.4">
      <c r="B103" s="2">
        <v>7</v>
      </c>
      <c r="C103" s="149" t="str">
        <f>C94</f>
        <v>Dia do Vigilante - Clausula 82ª CCT - Jornada 12x36 diurno</v>
      </c>
      <c r="D103" s="146"/>
      <c r="E103" s="146"/>
      <c r="F103" s="36">
        <f>F94</f>
        <v>8.2799999999999994</v>
      </c>
    </row>
    <row r="104" spans="2:8" ht="16.5" customHeight="1" x14ac:dyDescent="0.4">
      <c r="B104" s="302" t="s">
        <v>101</v>
      </c>
      <c r="C104" s="302"/>
      <c r="D104" s="302"/>
      <c r="E104" s="302"/>
      <c r="F104" s="37">
        <f>SUM(F97:F103)</f>
        <v>5114.4799999999996</v>
      </c>
      <c r="H104" s="129"/>
    </row>
    <row r="105" spans="2:8" ht="16.5" customHeight="1" x14ac:dyDescent="0.4">
      <c r="B105" s="302" t="s">
        <v>30</v>
      </c>
      <c r="C105" s="302"/>
      <c r="D105" s="302"/>
      <c r="E105" s="302"/>
      <c r="F105" s="37">
        <f>VALOR_TOTAL_EMPREGADO_12x36_DIU*EMPREG_POR_POSTO_12X36_DIU</f>
        <v>10228.959999999999</v>
      </c>
    </row>
  </sheetData>
  <mergeCells count="91">
    <mergeCell ref="B105:E105"/>
    <mergeCell ref="C90:D90"/>
    <mergeCell ref="C91:D91"/>
    <mergeCell ref="B92:E92"/>
    <mergeCell ref="C96:E96"/>
    <mergeCell ref="C97:E97"/>
    <mergeCell ref="C98:E98"/>
    <mergeCell ref="C99:E99"/>
    <mergeCell ref="C100:E100"/>
    <mergeCell ref="C101:E101"/>
    <mergeCell ref="C102:E102"/>
    <mergeCell ref="B104:E104"/>
    <mergeCell ref="B93:F93"/>
    <mergeCell ref="C94:E94"/>
    <mergeCell ref="C89:D89"/>
    <mergeCell ref="C77:E77"/>
    <mergeCell ref="C78:E78"/>
    <mergeCell ref="C79:E79"/>
    <mergeCell ref="C80:E80"/>
    <mergeCell ref="C81:E81"/>
    <mergeCell ref="B82:E82"/>
    <mergeCell ref="B84:F84"/>
    <mergeCell ref="C85:D85"/>
    <mergeCell ref="C86:D86"/>
    <mergeCell ref="C87:D87"/>
    <mergeCell ref="C88:D88"/>
    <mergeCell ref="B74:E74"/>
    <mergeCell ref="B59:E59"/>
    <mergeCell ref="C63:D63"/>
    <mergeCell ref="C64:D64"/>
    <mergeCell ref="C65:D65"/>
    <mergeCell ref="C66:D66"/>
    <mergeCell ref="C67:D67"/>
    <mergeCell ref="C68:D68"/>
    <mergeCell ref="C69:D69"/>
    <mergeCell ref="B70:E70"/>
    <mergeCell ref="C72:E72"/>
    <mergeCell ref="C73:E73"/>
    <mergeCell ref="C58:D58"/>
    <mergeCell ref="B45:E45"/>
    <mergeCell ref="C47:E47"/>
    <mergeCell ref="C48:E48"/>
    <mergeCell ref="C49:E49"/>
    <mergeCell ref="C50:E50"/>
    <mergeCell ref="C51:E51"/>
    <mergeCell ref="C52:E52"/>
    <mergeCell ref="B53:E53"/>
    <mergeCell ref="C55:D55"/>
    <mergeCell ref="C56:D56"/>
    <mergeCell ref="C57:D57"/>
    <mergeCell ref="C44:D44"/>
    <mergeCell ref="C33:D33"/>
    <mergeCell ref="B34:E34"/>
    <mergeCell ref="B35:F35"/>
    <mergeCell ref="C36:D36"/>
    <mergeCell ref="C37:D37"/>
    <mergeCell ref="C38:D38"/>
    <mergeCell ref="C39:D39"/>
    <mergeCell ref="C40:D40"/>
    <mergeCell ref="C41:D41"/>
    <mergeCell ref="C42:D42"/>
    <mergeCell ref="C43:D43"/>
    <mergeCell ref="C32:D32"/>
    <mergeCell ref="C18:E18"/>
    <mergeCell ref="B20:F20"/>
    <mergeCell ref="B21:E21"/>
    <mergeCell ref="C23:E23"/>
    <mergeCell ref="C24:E24"/>
    <mergeCell ref="C25:E25"/>
    <mergeCell ref="C26:E26"/>
    <mergeCell ref="C27:E27"/>
    <mergeCell ref="B28:E28"/>
    <mergeCell ref="C31:D31"/>
    <mergeCell ref="D17:F17"/>
    <mergeCell ref="B6:C6"/>
    <mergeCell ref="D6:E6"/>
    <mergeCell ref="B7:F7"/>
    <mergeCell ref="C8:E8"/>
    <mergeCell ref="D9:F9"/>
    <mergeCell ref="C10:E10"/>
    <mergeCell ref="C11:E11"/>
    <mergeCell ref="C12:E12"/>
    <mergeCell ref="C15:D15"/>
    <mergeCell ref="E15:F15"/>
    <mergeCell ref="D16:F16"/>
    <mergeCell ref="B1:F1"/>
    <mergeCell ref="B2:D2"/>
    <mergeCell ref="B3:F3"/>
    <mergeCell ref="B4:F4"/>
    <mergeCell ref="B5:C5"/>
    <mergeCell ref="D5:F5"/>
  </mergeCells>
  <printOptions horizontalCentered="1"/>
  <pageMargins left="0.15748031496062992" right="0.23622047244094491" top="0.24" bottom="0.15748031496062992" header="0.23622047244094491" footer="0.15748031496062992"/>
  <pageSetup paperSize="9" firstPageNumber="0" orientation="portrait" verticalDpi="30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5"/>
  <sheetViews>
    <sheetView topLeftCell="A23" zoomScaleNormal="100" zoomScaleSheetLayoutView="100" workbookViewId="0">
      <selection activeCell="F24" sqref="F24"/>
    </sheetView>
  </sheetViews>
  <sheetFormatPr defaultColWidth="9.109375" defaultRowHeight="16.8" x14ac:dyDescent="0.4"/>
  <cols>
    <col min="1" max="1" width="2.6640625" style="13" customWidth="1"/>
    <col min="2" max="2" width="8.88671875" style="13" customWidth="1"/>
    <col min="3" max="3" width="52.5546875" style="19" customWidth="1"/>
    <col min="4" max="4" width="7.88671875" style="19" customWidth="1"/>
    <col min="5" max="5" width="13.5546875" style="19" customWidth="1"/>
    <col min="6" max="6" width="15.44140625" style="19" bestFit="1" customWidth="1"/>
    <col min="7" max="7" width="9.6640625" style="13" bestFit="1" customWidth="1"/>
    <col min="8" max="16384" width="9.109375" style="13"/>
  </cols>
  <sheetData>
    <row r="1" spans="2:6" ht="20.399999999999999" x14ac:dyDescent="0.45">
      <c r="B1" s="313" t="str">
        <f>RAMO</f>
        <v>RAMO: MINISTÉRIO PÚBLIC FEDERAL</v>
      </c>
      <c r="C1" s="314"/>
      <c r="D1" s="314"/>
      <c r="E1" s="314"/>
      <c r="F1" s="315"/>
    </row>
    <row r="2" spans="2:6" ht="20.399999999999999" x14ac:dyDescent="0.45">
      <c r="B2" s="316" t="str">
        <f>UG</f>
        <v>UNIDADE GESTORA (SIGLA): PR-PA</v>
      </c>
      <c r="C2" s="317"/>
      <c r="D2" s="318"/>
      <c r="E2" s="113" t="s">
        <v>57</v>
      </c>
      <c r="F2" s="114" t="str">
        <f>DATA_DO_ORCAMENTO_ESTIMATIVO</f>
        <v>XX/XX/20XX</v>
      </c>
    </row>
    <row r="3" spans="2:6" s="98" customFormat="1" ht="24.6" x14ac:dyDescent="0.55000000000000004">
      <c r="B3" s="281" t="s">
        <v>55</v>
      </c>
      <c r="C3" s="281"/>
      <c r="D3" s="281"/>
      <c r="E3" s="281"/>
      <c r="F3" s="281"/>
    </row>
    <row r="4" spans="2:6" s="98" customFormat="1" ht="15.9" customHeight="1" x14ac:dyDescent="0.4">
      <c r="B4" s="282" t="s">
        <v>97</v>
      </c>
      <c r="C4" s="282"/>
      <c r="D4" s="282"/>
      <c r="E4" s="282"/>
      <c r="F4" s="282"/>
    </row>
    <row r="5" spans="2:6" s="98" customFormat="1" ht="15.9" customHeight="1" x14ac:dyDescent="0.4">
      <c r="B5" s="285" t="s">
        <v>223</v>
      </c>
      <c r="C5" s="285"/>
      <c r="D5" s="319" t="str">
        <f>NUMERO_PROCESSO</f>
        <v>1.23.000.000855/2020-32</v>
      </c>
      <c r="E5" s="319"/>
      <c r="F5" s="319"/>
    </row>
    <row r="6" spans="2:6" s="98" customFormat="1" ht="15.75" customHeight="1" x14ac:dyDescent="0.4">
      <c r="B6" s="289" t="s">
        <v>224</v>
      </c>
      <c r="C6" s="289"/>
      <c r="D6" s="320" t="str">
        <f>MODALIDADE_DE_LICITACAO</f>
        <v>Pregão nº</v>
      </c>
      <c r="E6" s="320"/>
      <c r="F6" s="118" t="str">
        <f>NUMERO_PREGAO</f>
        <v>XX/20XX</v>
      </c>
    </row>
    <row r="7" spans="2:6" s="99" customFormat="1" ht="15.75" customHeight="1" x14ac:dyDescent="0.45">
      <c r="B7" s="321" t="s">
        <v>58</v>
      </c>
      <c r="C7" s="321"/>
      <c r="D7" s="321"/>
      <c r="E7" s="321"/>
      <c r="F7" s="321"/>
    </row>
    <row r="8" spans="2:6" s="98" customFormat="1" ht="18" customHeight="1" x14ac:dyDescent="0.4">
      <c r="B8" s="25" t="s">
        <v>2</v>
      </c>
      <c r="C8" s="285" t="s">
        <v>63</v>
      </c>
      <c r="D8" s="285"/>
      <c r="E8" s="285"/>
      <c r="F8" s="119" t="str">
        <f>DATA_APRESENTACAO_PROPOSTA</f>
        <v>XX/XX/20XX</v>
      </c>
    </row>
    <row r="9" spans="2:6" s="98" customFormat="1" ht="15.9" customHeight="1" x14ac:dyDescent="0.25">
      <c r="B9" s="1" t="s">
        <v>3</v>
      </c>
      <c r="C9" s="67" t="s">
        <v>36</v>
      </c>
      <c r="D9" s="311" t="s">
        <v>267</v>
      </c>
      <c r="E9" s="311"/>
      <c r="F9" s="311"/>
    </row>
    <row r="10" spans="2:6" s="98" customFormat="1" ht="18.75" customHeight="1" x14ac:dyDescent="0.4">
      <c r="B10" s="25" t="s">
        <v>4</v>
      </c>
      <c r="C10" s="285" t="s">
        <v>37</v>
      </c>
      <c r="D10" s="285"/>
      <c r="E10" s="285"/>
      <c r="F10" s="120" t="str">
        <f>ACORDO_COLETIVO</f>
        <v>CCT 2020/2021</v>
      </c>
    </row>
    <row r="11" spans="2:6" s="98" customFormat="1" ht="15.9" customHeight="1" x14ac:dyDescent="0.4">
      <c r="B11" s="1" t="s">
        <v>5</v>
      </c>
      <c r="C11" s="311" t="s">
        <v>64</v>
      </c>
      <c r="D11" s="311"/>
      <c r="E11" s="311"/>
      <c r="F11" s="121">
        <f>NUMERO_MESES_EXEC_CONTRATUAL</f>
        <v>12</v>
      </c>
    </row>
    <row r="12" spans="2:6" s="98" customFormat="1" x14ac:dyDescent="0.4">
      <c r="B12" s="1" t="s">
        <v>6</v>
      </c>
      <c r="C12" s="312" t="s">
        <v>85</v>
      </c>
      <c r="D12" s="312"/>
      <c r="E12" s="312"/>
      <c r="F12" s="102">
        <v>2</v>
      </c>
    </row>
    <row r="13" spans="2:6" s="127" customFormat="1" ht="21" customHeight="1" x14ac:dyDescent="0.25">
      <c r="B13" s="125" t="s">
        <v>205</v>
      </c>
      <c r="C13" s="126"/>
      <c r="D13" s="126"/>
      <c r="E13" s="126"/>
      <c r="F13" s="126"/>
    </row>
    <row r="14" spans="2:6" s="98" customFormat="1" x14ac:dyDescent="0.4">
      <c r="B14" s="25">
        <v>1</v>
      </c>
      <c r="C14" s="243" t="s">
        <v>60</v>
      </c>
      <c r="D14" s="243"/>
      <c r="E14" s="247" t="str">
        <f>TIPO_DE_SERVICO</f>
        <v>Vigilância</v>
      </c>
      <c r="F14" s="247"/>
    </row>
    <row r="15" spans="2:6" s="99" customFormat="1" x14ac:dyDescent="0.4">
      <c r="B15" s="25">
        <v>2</v>
      </c>
      <c r="C15" s="27" t="s">
        <v>59</v>
      </c>
      <c r="D15" s="246" t="str">
        <f>CBO</f>
        <v>5173-30</v>
      </c>
      <c r="E15" s="246"/>
      <c r="F15" s="246"/>
    </row>
    <row r="16" spans="2:6" s="98" customFormat="1" ht="15" customHeight="1" x14ac:dyDescent="0.4">
      <c r="B16" s="25">
        <v>3</v>
      </c>
      <c r="C16" s="56" t="s">
        <v>61</v>
      </c>
      <c r="D16" s="247" t="str">
        <f>CATEGORIA_PROFISSIONAL</f>
        <v>Vigilante</v>
      </c>
      <c r="E16" s="247"/>
      <c r="F16" s="247"/>
    </row>
    <row r="17" spans="2:6" s="98" customFormat="1" ht="15" customHeight="1" x14ac:dyDescent="0.4">
      <c r="B17" s="25">
        <v>4</v>
      </c>
      <c r="C17" s="248" t="s">
        <v>62</v>
      </c>
      <c r="D17" s="248"/>
      <c r="E17" s="248"/>
      <c r="F17" s="135">
        <f>DATA_BASE_CATEGORIA</f>
        <v>43831</v>
      </c>
    </row>
    <row r="18" spans="2:6" s="124" customFormat="1" ht="30" customHeight="1" x14ac:dyDescent="0.4">
      <c r="B18" s="322" t="s">
        <v>40</v>
      </c>
      <c r="C18" s="322"/>
      <c r="D18" s="322"/>
      <c r="E18" s="322"/>
      <c r="F18" s="322"/>
    </row>
    <row r="19" spans="2:6" x14ac:dyDescent="0.4">
      <c r="B19" s="260" t="s">
        <v>52</v>
      </c>
      <c r="C19" s="260"/>
      <c r="D19" s="260"/>
      <c r="E19" s="260"/>
      <c r="F19" s="117">
        <v>2</v>
      </c>
    </row>
    <row r="20" spans="2:6" x14ac:dyDescent="0.4">
      <c r="B20" s="51" t="s">
        <v>8</v>
      </c>
      <c r="E20" s="14"/>
      <c r="F20" s="14"/>
    </row>
    <row r="21" spans="2:6" x14ac:dyDescent="0.4">
      <c r="B21" s="1">
        <v>1</v>
      </c>
      <c r="C21" s="250" t="s">
        <v>9</v>
      </c>
      <c r="D21" s="250"/>
      <c r="E21" s="250"/>
      <c r="F21" s="4" t="s">
        <v>13</v>
      </c>
    </row>
    <row r="22" spans="2:6" x14ac:dyDescent="0.4">
      <c r="B22" s="1" t="s">
        <v>2</v>
      </c>
      <c r="C22" s="249" t="s">
        <v>92</v>
      </c>
      <c r="D22" s="249"/>
      <c r="E22" s="249"/>
      <c r="F22" s="57">
        <f>SALARIO_BASE</f>
        <v>1401.07</v>
      </c>
    </row>
    <row r="23" spans="2:6" x14ac:dyDescent="0.4">
      <c r="B23" s="1" t="s">
        <v>3</v>
      </c>
      <c r="C23" s="300" t="s">
        <v>94</v>
      </c>
      <c r="D23" s="300"/>
      <c r="E23" s="300"/>
      <c r="F23" s="10">
        <f>PERC_ADIC_PERIC%*SALARIO_BASE</f>
        <v>420.32</v>
      </c>
    </row>
    <row r="24" spans="2:6" ht="15.75" customHeight="1" x14ac:dyDescent="0.4">
      <c r="B24" s="1" t="s">
        <v>4</v>
      </c>
      <c r="C24" s="331" t="s">
        <v>83</v>
      </c>
      <c r="D24" s="331"/>
      <c r="E24" s="331"/>
      <c r="F24" s="57">
        <f>7*15.2*0.2*((AL_1_A_SAL_BASE_12X36_NOT+AL_1_B_ADIC_PERIC_12X36_NOT)/220)</f>
        <v>176.18</v>
      </c>
    </row>
    <row r="25" spans="2:6" ht="15.75" customHeight="1" x14ac:dyDescent="0.4">
      <c r="B25" s="1" t="s">
        <v>5</v>
      </c>
      <c r="C25" s="300" t="s">
        <v>87</v>
      </c>
      <c r="D25" s="300"/>
      <c r="E25" s="300"/>
      <c r="F25" s="237">
        <f>((AL_1_A_SAL_BASE_12X36_NOT+AL_1_B_ADIC_PERIC_12X36_NOT)/DIVISOR_DE_HORAS)*((HORA_NORMAL-HORA_NOTURNA)/HORA_NOTURNA)*DIAS_NA_SEMANA*MEDIA_ANUAL_DIAS_TRABALHO_MES*1.2*1.5</f>
        <v>226.51</v>
      </c>
    </row>
    <row r="26" spans="2:6" x14ac:dyDescent="0.4">
      <c r="B26" s="1" t="s">
        <v>6</v>
      </c>
      <c r="C26" s="275" t="str">
        <f>OUTROS_REMUNERACAO_1_DESCRICAO</f>
        <v>DSR - Adicional noturno - 1/6</v>
      </c>
      <c r="D26" s="276"/>
      <c r="E26" s="277"/>
      <c r="F26" s="57">
        <f>1/6*AL_1_C_ADIC_NOT_12X36_NOT</f>
        <v>29.36</v>
      </c>
    </row>
    <row r="27" spans="2:6" x14ac:dyDescent="0.4">
      <c r="B27" s="1" t="s">
        <v>7</v>
      </c>
      <c r="C27" s="305" t="str">
        <f>OUTROS_REMUNERACAO_2_DESCRICAO</f>
        <v>DSR - Hora noturna reduzida - 1/6</v>
      </c>
      <c r="D27" s="306"/>
      <c r="E27" s="307"/>
      <c r="F27" s="10">
        <f>1/6*AL_1_D_ADIC_NOT_RED_12X36_NOT</f>
        <v>37.75</v>
      </c>
    </row>
    <row r="28" spans="2:6" x14ac:dyDescent="0.4">
      <c r="B28" s="329" t="s">
        <v>46</v>
      </c>
      <c r="C28" s="329"/>
      <c r="D28" s="329"/>
      <c r="E28" s="329"/>
      <c r="F28" s="40">
        <f>SUM(F22:F27)</f>
        <v>2291.19</v>
      </c>
    </row>
    <row r="29" spans="2:6" x14ac:dyDescent="0.4">
      <c r="B29" s="51" t="s">
        <v>65</v>
      </c>
      <c r="E29" s="21"/>
      <c r="F29" s="21"/>
    </row>
    <row r="30" spans="2:6" x14ac:dyDescent="0.4">
      <c r="B30" s="51" t="s">
        <v>110</v>
      </c>
      <c r="C30" s="12"/>
      <c r="D30" s="22"/>
      <c r="E30" s="20"/>
      <c r="F30" s="20"/>
    </row>
    <row r="31" spans="2:6" x14ac:dyDescent="0.4">
      <c r="B31" s="1" t="s">
        <v>66</v>
      </c>
      <c r="C31" s="260" t="s">
        <v>93</v>
      </c>
      <c r="D31" s="260"/>
      <c r="E31" s="4" t="s">
        <v>1</v>
      </c>
      <c r="F31" s="4" t="s">
        <v>13</v>
      </c>
    </row>
    <row r="32" spans="2:6" x14ac:dyDescent="0.4">
      <c r="B32" s="1" t="s">
        <v>2</v>
      </c>
      <c r="C32" s="298" t="s">
        <v>47</v>
      </c>
      <c r="D32" s="298"/>
      <c r="E32" s="59">
        <f>PERC_DEC_TERC</f>
        <v>8.33</v>
      </c>
      <c r="F32" s="58">
        <f>PERC_DEC_TERC%*MOD_1_REMUNERACAO_12X36_NOT</f>
        <v>190.86</v>
      </c>
    </row>
    <row r="33" spans="2:9" s="17" customFormat="1" x14ac:dyDescent="0.4">
      <c r="B33" s="2" t="s">
        <v>3</v>
      </c>
      <c r="C33" s="300" t="s">
        <v>95</v>
      </c>
      <c r="D33" s="300"/>
      <c r="E33" s="38">
        <f>PERC_ADIC_FERIAS</f>
        <v>2.78</v>
      </c>
      <c r="F33" s="36">
        <f>PERC_ADIC_FERIAS%*MOD_1_REMUNERACAO_12X36_NOT</f>
        <v>63.7</v>
      </c>
    </row>
    <row r="34" spans="2:9" s="107" customFormat="1" x14ac:dyDescent="0.4">
      <c r="B34" s="268" t="s">
        <v>46</v>
      </c>
      <c r="C34" s="269"/>
      <c r="D34" s="269"/>
      <c r="E34" s="270"/>
      <c r="F34" s="41">
        <f>SUM(F32:F33)</f>
        <v>254.56</v>
      </c>
    </row>
    <row r="35" spans="2:9" s="107" customFormat="1" ht="31.5" customHeight="1" x14ac:dyDescent="0.4">
      <c r="B35" s="330" t="s">
        <v>68</v>
      </c>
      <c r="C35" s="330"/>
      <c r="D35" s="330"/>
      <c r="E35" s="330"/>
      <c r="F35" s="330"/>
    </row>
    <row r="36" spans="2:9" s="107" customFormat="1" ht="34.5" customHeight="1" x14ac:dyDescent="0.4">
      <c r="B36" s="1" t="s">
        <v>69</v>
      </c>
      <c r="C36" s="304" t="s">
        <v>96</v>
      </c>
      <c r="D36" s="304"/>
      <c r="E36" s="4" t="s">
        <v>1</v>
      </c>
      <c r="F36" s="4" t="s">
        <v>13</v>
      </c>
    </row>
    <row r="37" spans="2:9" x14ac:dyDescent="0.4">
      <c r="B37" s="1" t="s">
        <v>2</v>
      </c>
      <c r="C37" s="298" t="s">
        <v>41</v>
      </c>
      <c r="D37" s="298"/>
      <c r="E37" s="59">
        <f>PERC_INSS</f>
        <v>20</v>
      </c>
      <c r="F37" s="58">
        <f>PERC_INSS%*(MOD_1_REMUNERACAO_12X36_NOT+SUBMOD_2_1_DEC_TERC_ADIC_FERIAS_12X36_NOT)</f>
        <v>509.15</v>
      </c>
    </row>
    <row r="38" spans="2:9" s="98" customFormat="1" x14ac:dyDescent="0.25">
      <c r="B38" s="2" t="s">
        <v>3</v>
      </c>
      <c r="C38" s="300" t="s">
        <v>43</v>
      </c>
      <c r="D38" s="300"/>
      <c r="E38" s="46">
        <f>PERC_SAL_EDUCACAO</f>
        <v>2.5</v>
      </c>
      <c r="F38" s="36">
        <f>PERC_SAL_EDUCACAO%*(MOD_1_REMUNERACAO_12X36_NOT+SUBMOD_2_1_DEC_TERC_ADIC_FERIAS_12X36_NOT)</f>
        <v>63.64</v>
      </c>
    </row>
    <row r="39" spans="2:9" s="98" customFormat="1" x14ac:dyDescent="0.25">
      <c r="B39" s="2" t="s">
        <v>4</v>
      </c>
      <c r="C39" s="275" t="s">
        <v>236</v>
      </c>
      <c r="D39" s="276"/>
      <c r="E39" s="59">
        <f>PERC_RAT</f>
        <v>6</v>
      </c>
      <c r="F39" s="58">
        <f>PERC_RAT%*(MOD_1_REMUNERACAO_12X36_NOT+SUBMOD_2_1_DEC_TERC_ADIC_FERIAS_12X36_NOT)</f>
        <v>152.75</v>
      </c>
    </row>
    <row r="40" spans="2:9" s="98" customFormat="1" x14ac:dyDescent="0.25">
      <c r="B40" s="2" t="s">
        <v>5</v>
      </c>
      <c r="C40" s="300" t="s">
        <v>88</v>
      </c>
      <c r="D40" s="300"/>
      <c r="E40" s="38">
        <f>PERC_SESC</f>
        <v>1.5</v>
      </c>
      <c r="F40" s="36">
        <f>PERC_SESC%*(MOD_1_REMUNERACAO_12X36_NOT+SUBMOD_2_1_DEC_TERC_ADIC_FERIAS_12X36_NOT)</f>
        <v>38.19</v>
      </c>
      <c r="I40" s="143"/>
    </row>
    <row r="41" spans="2:9" s="98" customFormat="1" x14ac:dyDescent="0.25">
      <c r="B41" s="2" t="s">
        <v>6</v>
      </c>
      <c r="C41" s="298" t="s">
        <v>89</v>
      </c>
      <c r="D41" s="298"/>
      <c r="E41" s="59">
        <f>PERC_SENAC</f>
        <v>1</v>
      </c>
      <c r="F41" s="58">
        <f>PERC_SENAC%*(MOD_1_REMUNERACAO_12X36_NOT+SUBMOD_2_1_DEC_TERC_ADIC_FERIAS_12X36_NOT)</f>
        <v>25.46</v>
      </c>
    </row>
    <row r="42" spans="2:9" s="99" customFormat="1" x14ac:dyDescent="0.25">
      <c r="B42" s="2" t="s">
        <v>7</v>
      </c>
      <c r="C42" s="300" t="s">
        <v>45</v>
      </c>
      <c r="D42" s="300"/>
      <c r="E42" s="46">
        <f>PERC_SEBRAE</f>
        <v>0.6</v>
      </c>
      <c r="F42" s="36">
        <f>PERC_SEBRAE%*(MOD_1_REMUNERACAO_12X36_NOT+SUBMOD_2_1_DEC_TERC_ADIC_FERIAS_12X36_NOT)</f>
        <v>15.27</v>
      </c>
    </row>
    <row r="43" spans="2:9" s="99" customFormat="1" x14ac:dyDescent="0.25">
      <c r="B43" s="2" t="s">
        <v>10</v>
      </c>
      <c r="C43" s="298" t="s">
        <v>42</v>
      </c>
      <c r="D43" s="298"/>
      <c r="E43" s="59">
        <f>PERC_INCRA</f>
        <v>0.2</v>
      </c>
      <c r="F43" s="58">
        <f>PERC_INCRA%*(MOD_1_REMUNERACAO_12X36_NOT+SUBMOD_2_1_DEC_TERC_ADIC_FERIAS_12X36_NOT)</f>
        <v>5.09</v>
      </c>
    </row>
    <row r="44" spans="2:9" x14ac:dyDescent="0.4">
      <c r="B44" s="2" t="s">
        <v>11</v>
      </c>
      <c r="C44" s="300" t="s">
        <v>44</v>
      </c>
      <c r="D44" s="300"/>
      <c r="E44" s="46">
        <f>PERC_FGTS</f>
        <v>8</v>
      </c>
      <c r="F44" s="36">
        <f>PERC_FGTS%*(MOD_1_REMUNERACAO_12X36_NOT+SUBMOD_2_1_DEC_TERC_ADIC_FERIAS_12X36_NOT)</f>
        <v>203.66</v>
      </c>
    </row>
    <row r="45" spans="2:9" x14ac:dyDescent="0.4">
      <c r="B45" s="268" t="s">
        <v>46</v>
      </c>
      <c r="C45" s="269"/>
      <c r="D45" s="269"/>
      <c r="E45" s="270"/>
      <c r="F45" s="42">
        <f>SUM(F37:F44)</f>
        <v>1013.21</v>
      </c>
    </row>
    <row r="46" spans="2:9" ht="15.75" customHeight="1" x14ac:dyDescent="0.4">
      <c r="B46" s="51" t="s">
        <v>71</v>
      </c>
      <c r="C46" s="99"/>
      <c r="D46" s="99"/>
      <c r="E46" s="99"/>
      <c r="F46" s="99"/>
    </row>
    <row r="47" spans="2:9" ht="15.75" customHeight="1" x14ac:dyDescent="0.4">
      <c r="B47" s="1" t="s">
        <v>90</v>
      </c>
      <c r="C47" s="250" t="s">
        <v>14</v>
      </c>
      <c r="D47" s="250"/>
      <c r="E47" s="250"/>
      <c r="F47" s="4" t="s">
        <v>13</v>
      </c>
    </row>
    <row r="48" spans="2:9" x14ac:dyDescent="0.4">
      <c r="B48" s="25" t="s">
        <v>2</v>
      </c>
      <c r="C48" s="298" t="s">
        <v>15</v>
      </c>
      <c r="D48" s="298"/>
      <c r="E48" s="298"/>
      <c r="F48" s="58">
        <f>IF((((3*2)*DIAS_TRABALHADOS_NO_MES_12X36)-(PERC_DESC_TRANSP_REMUNERACAO%*(AL_1_A_SAL_BASE_12X36_DIU/2)))&gt;0,(((3*2)*DIAS_TRABALHADOS_NO_MES_12X36)-(PERC_DESC_TRANSP_REMUNERACAO%*(AL_1_A_SAL_BASE_12X36_DIU/2))),0)</f>
        <v>47.97</v>
      </c>
      <c r="G48" s="145"/>
    </row>
    <row r="49" spans="2:7" s="107" customFormat="1" x14ac:dyDescent="0.4">
      <c r="B49" s="25" t="s">
        <v>3</v>
      </c>
      <c r="C49" s="300" t="s">
        <v>70</v>
      </c>
      <c r="D49" s="300"/>
      <c r="E49" s="300"/>
      <c r="F49" s="36">
        <f>ALIMENTACAO_POR_DIA*DIAS_TRABALHADOS_NO_MES_12X36*0.99</f>
        <v>386.1</v>
      </c>
      <c r="G49" s="13"/>
    </row>
    <row r="50" spans="2:7" s="107" customFormat="1" x14ac:dyDescent="0.4">
      <c r="B50" s="25" t="s">
        <v>4</v>
      </c>
      <c r="C50" s="275" t="str">
        <f>OUTROS_BENEFICIOS_1_DESCRICAO</f>
        <v>Auxílio saúde</v>
      </c>
      <c r="D50" s="276"/>
      <c r="E50" s="277"/>
      <c r="F50" s="58"/>
      <c r="G50" s="13"/>
    </row>
    <row r="51" spans="2:7" s="107" customFormat="1" x14ac:dyDescent="0.4">
      <c r="B51" s="25" t="s">
        <v>5</v>
      </c>
      <c r="C51" s="305" t="str">
        <f>OUTROS_BENEFICIOS_2_DESCRICAO</f>
        <v>Auxílio morte/funeral</v>
      </c>
      <c r="D51" s="306"/>
      <c r="E51" s="307"/>
      <c r="F51" s="36"/>
      <c r="G51" s="13"/>
    </row>
    <row r="52" spans="2:7" s="107" customFormat="1" x14ac:dyDescent="0.4">
      <c r="B52" s="25" t="s">
        <v>6</v>
      </c>
      <c r="C52" s="275" t="str">
        <f>OUTROS_BENEFICIOS_3_DESCRICAO</f>
        <v>Seguro de vida</v>
      </c>
      <c r="D52" s="276"/>
      <c r="E52" s="277"/>
      <c r="F52" s="58"/>
    </row>
    <row r="53" spans="2:7" s="107" customFormat="1" ht="15" customHeight="1" x14ac:dyDescent="0.4">
      <c r="B53" s="329" t="s">
        <v>46</v>
      </c>
      <c r="C53" s="329"/>
      <c r="D53" s="329"/>
      <c r="E53" s="329"/>
      <c r="F53" s="40">
        <f>SUM(F48:F52)</f>
        <v>434.07</v>
      </c>
    </row>
    <row r="54" spans="2:7" s="107" customFormat="1" x14ac:dyDescent="0.4">
      <c r="B54" s="51" t="s">
        <v>72</v>
      </c>
      <c r="C54" s="12"/>
      <c r="D54" s="22"/>
      <c r="E54" s="20"/>
      <c r="F54" s="20"/>
    </row>
    <row r="55" spans="2:7" s="107" customFormat="1" ht="15" customHeight="1" x14ac:dyDescent="0.4">
      <c r="B55" s="1">
        <v>3</v>
      </c>
      <c r="C55" s="260" t="s">
        <v>48</v>
      </c>
      <c r="D55" s="260"/>
      <c r="E55" s="4" t="s">
        <v>1</v>
      </c>
      <c r="F55" s="4" t="s">
        <v>13</v>
      </c>
    </row>
    <row r="56" spans="2:7" s="107" customFormat="1" x14ac:dyDescent="0.4">
      <c r="B56" s="1" t="s">
        <v>2</v>
      </c>
      <c r="C56" s="301" t="s">
        <v>49</v>
      </c>
      <c r="D56" s="301"/>
      <c r="E56" s="59">
        <f>PERC_AVISO_PREVIO_IND</f>
        <v>0.28999999999999998</v>
      </c>
      <c r="F56" s="58">
        <f>PERC_AVISO_PREVIO_IND%*(MOD_1_REMUNERACAO_12X36_NOT+SUBMOD_2_1_DEC_TERC_ADIC_FERIAS_12X36_NOT+AL_2_2_FGTS_12X36_NOT+SUBMOD_2_3_BENEFICIOS_12X36_NOT)</f>
        <v>9.23</v>
      </c>
    </row>
    <row r="57" spans="2:7" s="107" customFormat="1" x14ac:dyDescent="0.4">
      <c r="B57" s="2" t="s">
        <v>3</v>
      </c>
      <c r="C57" s="303" t="s">
        <v>50</v>
      </c>
      <c r="D57" s="303"/>
      <c r="E57" s="46">
        <f>PERC_AVISO_PREVIO_TRAB</f>
        <v>1.1599999999999999</v>
      </c>
      <c r="F57" s="36">
        <f>PERC_AVISO_PREVIO_TRAB%*(MOD_1_REMUNERACAO_12X36_NOT+SUBMOD_2_1_DEC_TERC_ADIC_FERIAS_12X36_NOT+SUBMOD_2_2_GPS_FGTS_12X36_NOT+SUBMOD_2_3_BENEFICIOS_12X36_NOT)</f>
        <v>46.32</v>
      </c>
    </row>
    <row r="58" spans="2:7" s="98" customFormat="1" x14ac:dyDescent="0.25">
      <c r="B58" s="2" t="s">
        <v>4</v>
      </c>
      <c r="C58" s="301" t="s">
        <v>232</v>
      </c>
      <c r="D58" s="301"/>
      <c r="E58" s="59">
        <f>PERC_MULTA_FGTS_AV_PREV_TRAB</f>
        <v>0.04</v>
      </c>
      <c r="F58" s="58">
        <f>PERC_MULTA_FGTS_AV_PREV_TRAB%*(MOD_1_REMUNERACAO_12X36_NOT+SUBMOD_2_1_DEC_TERC_ADIC_FERIAS_12X36_NOT)</f>
        <v>1.02</v>
      </c>
    </row>
    <row r="59" spans="2:7" s="98" customFormat="1" x14ac:dyDescent="0.4">
      <c r="B59" s="268" t="s">
        <v>46</v>
      </c>
      <c r="C59" s="269"/>
      <c r="D59" s="269"/>
      <c r="E59" s="270"/>
      <c r="F59" s="41">
        <f>SUM(F56:F58)</f>
        <v>56.57</v>
      </c>
    </row>
    <row r="60" spans="2:7" ht="7.5" customHeight="1" x14ac:dyDescent="0.4">
      <c r="B60" s="16"/>
      <c r="C60" s="17"/>
      <c r="D60" s="18"/>
      <c r="E60" s="14"/>
      <c r="F60" s="14"/>
    </row>
    <row r="61" spans="2:7" s="98" customFormat="1" ht="15.9" customHeight="1" x14ac:dyDescent="0.4">
      <c r="B61" s="51" t="s">
        <v>73</v>
      </c>
      <c r="C61" s="12"/>
      <c r="D61" s="22"/>
      <c r="E61" s="13"/>
      <c r="F61" s="13"/>
    </row>
    <row r="62" spans="2:7" s="98" customFormat="1" ht="15.9" customHeight="1" x14ac:dyDescent="0.4">
      <c r="B62" s="51" t="s">
        <v>102</v>
      </c>
      <c r="C62" s="12"/>
      <c r="D62" s="22"/>
      <c r="E62" s="20"/>
      <c r="F62" s="20"/>
    </row>
    <row r="63" spans="2:7" s="98" customFormat="1" x14ac:dyDescent="0.25">
      <c r="B63" s="1" t="s">
        <v>18</v>
      </c>
      <c r="C63" s="302" t="s">
        <v>103</v>
      </c>
      <c r="D63" s="302"/>
      <c r="E63" s="4" t="s">
        <v>1</v>
      </c>
      <c r="F63" s="4" t="s">
        <v>13</v>
      </c>
    </row>
    <row r="64" spans="2:7" s="98" customFormat="1" ht="15.9" customHeight="1" x14ac:dyDescent="0.25">
      <c r="B64" s="2" t="s">
        <v>2</v>
      </c>
      <c r="C64" s="298" t="s">
        <v>104</v>
      </c>
      <c r="D64" s="298"/>
      <c r="E64" s="59">
        <f>PERC_SUBSTITUTO_FERIAS</f>
        <v>8.33</v>
      </c>
      <c r="F64" s="58">
        <f>PERC_SUBSTITUTO_FERIAS%*(MOD_1_REMUNERACAO_12X36_NOT+MOD_2_ENCARGOS_BENEFICIOS_12X36_NOT+MOD_3_PROVISAO_RESCISAO_12X36_NOT)</f>
        <v>337.33</v>
      </c>
    </row>
    <row r="65" spans="2:7" s="98" customFormat="1" ht="15.9" customHeight="1" x14ac:dyDescent="0.25">
      <c r="B65" s="2" t="s">
        <v>3</v>
      </c>
      <c r="C65" s="300" t="s">
        <v>105</v>
      </c>
      <c r="D65" s="300"/>
      <c r="E65" s="46">
        <f>PERC_SUBSTITUTO_AUSENCIAS_LEGAIS</f>
        <v>2.2200000000000002</v>
      </c>
      <c r="F65" s="36">
        <f>PERC_SUBSTITUTO_AUSENCIAS_LEGAIS%*(MOD_1_REMUNERACAO_12X36_NOT+MOD_2_ENCARGOS_BENEFICIOS_12X36_NOT+MOD_3_PROVISAO_RESCISAO_12X36_NOT)</f>
        <v>89.9</v>
      </c>
    </row>
    <row r="66" spans="2:7" s="98" customFormat="1" ht="15.9" customHeight="1" x14ac:dyDescent="0.25">
      <c r="B66" s="2" t="s">
        <v>4</v>
      </c>
      <c r="C66" s="298" t="s">
        <v>106</v>
      </c>
      <c r="D66" s="298"/>
      <c r="E66" s="59">
        <f>PERC_SUBSTITUTO_LICENCA_PATERNIDADE</f>
        <v>7.0000000000000007E-2</v>
      </c>
      <c r="F66" s="58">
        <f>PERC_SUBSTITUTO_LICENCA_PATERNIDADE%*(MOD_1_REMUNERACAO_12X36_NOT+MOD_2_ENCARGOS_BENEFICIOS_12X36_NOT+MOD_3_PROVISAO_RESCISAO_12X36_NOT)</f>
        <v>2.83</v>
      </c>
    </row>
    <row r="67" spans="2:7" s="98" customFormat="1" x14ac:dyDescent="0.25">
      <c r="B67" s="2" t="s">
        <v>5</v>
      </c>
      <c r="C67" s="300" t="s">
        <v>107</v>
      </c>
      <c r="D67" s="300"/>
      <c r="E67" s="46">
        <f>PERC_SUBSTITUTO_ACID_TRAB</f>
        <v>0.02</v>
      </c>
      <c r="F67" s="36">
        <f>PERC_SUBSTITUTO_ACID_TRAB%*(MOD_1_REMUNERACAO_12X36_NOT+MOD_2_ENCARGOS_BENEFICIOS_12X36_NOT+MOD_3_PROVISAO_RESCISAO_12X36_NOT)</f>
        <v>0.81</v>
      </c>
    </row>
    <row r="68" spans="2:7" s="98" customFormat="1" x14ac:dyDescent="0.25">
      <c r="B68" s="2" t="s">
        <v>6</v>
      </c>
      <c r="C68" s="298" t="s">
        <v>108</v>
      </c>
      <c r="D68" s="298"/>
      <c r="E68" s="59">
        <f>PERC_SUBSTITUTO_AFAST_MATERN</f>
        <v>0.04</v>
      </c>
      <c r="F68" s="58">
        <f>PERC_SUBSTITUTO_AFAST_MATERN%*(MOD_1_REMUNERACAO_12X36_NOT+MOD_2_ENCARGOS_BENEFICIOS_12X36_NOT+MOD_3_PROVISAO_RESCISAO_12X36_NOT)</f>
        <v>1.62</v>
      </c>
    </row>
    <row r="69" spans="2:7" s="98" customFormat="1" x14ac:dyDescent="0.25">
      <c r="B69" s="2" t="s">
        <v>7</v>
      </c>
      <c r="C69" s="325" t="str">
        <f>OUTRAS_AUSENCIAS_DESCRICAO</f>
        <v>Outras Ausências (Especificar - em %)</v>
      </c>
      <c r="D69" s="300"/>
      <c r="E69" s="53">
        <f>PERC_SUBSTITUTO_OUTRAS_AUSENCIAS</f>
        <v>0</v>
      </c>
      <c r="F69" s="36">
        <f>PERC_SUBSTITUTO_OUTRAS_AUSENCIAS%*(MOD_1_REMUNERACAO_12X36_NOT+MOD_2_ENCARGOS_BENEFICIOS_12X36_NOT+MOD_3_PROVISAO_RESCISAO_12X36_NOT)</f>
        <v>0</v>
      </c>
    </row>
    <row r="70" spans="2:7" s="98" customFormat="1" x14ac:dyDescent="0.4">
      <c r="B70" s="268" t="s">
        <v>46</v>
      </c>
      <c r="C70" s="269"/>
      <c r="D70" s="269"/>
      <c r="E70" s="270"/>
      <c r="F70" s="41">
        <f>SUM(F64:F69)</f>
        <v>432.49</v>
      </c>
    </row>
    <row r="71" spans="2:7" s="98" customFormat="1" ht="15" customHeight="1" x14ac:dyDescent="0.4">
      <c r="B71" s="51" t="s">
        <v>226</v>
      </c>
      <c r="C71" s="12"/>
      <c r="D71" s="22"/>
      <c r="E71" s="20"/>
      <c r="F71" s="20"/>
    </row>
    <row r="72" spans="2:7" s="98" customFormat="1" x14ac:dyDescent="0.25">
      <c r="B72" s="1" t="s">
        <v>19</v>
      </c>
      <c r="C72" s="260" t="s">
        <v>225</v>
      </c>
      <c r="D72" s="260"/>
      <c r="E72" s="260"/>
      <c r="F72" s="4" t="s">
        <v>13</v>
      </c>
    </row>
    <row r="73" spans="2:7" s="98" customFormat="1" ht="16.5" customHeight="1" x14ac:dyDescent="0.25">
      <c r="B73" s="1" t="s">
        <v>2</v>
      </c>
      <c r="C73" s="298" t="s">
        <v>109</v>
      </c>
      <c r="D73" s="298"/>
      <c r="E73" s="298"/>
      <c r="F73" s="57">
        <f>((MOD_1_REMUNERACAO_12X36_NOT+MOD_2_ENCARGOS_BENEFICIOS_12X36_NOT+MOD_3_PROVISAO_RESCISAO_12X36_NOT)/DIVISOR_DE_HORAS)*((TEMPO_INTERVALO_REFEICAO/HORA_NORMAL))*DIAS_TRABALHADOS_NO_MES_12X36</f>
        <v>276.11</v>
      </c>
      <c r="G73" s="141"/>
    </row>
    <row r="74" spans="2:7" s="98" customFormat="1" x14ac:dyDescent="0.4">
      <c r="B74" s="260" t="s">
        <v>46</v>
      </c>
      <c r="C74" s="260"/>
      <c r="D74" s="260"/>
      <c r="E74" s="260"/>
      <c r="F74" s="41">
        <f>SUM(F73:F73)</f>
        <v>276.11</v>
      </c>
    </row>
    <row r="75" spans="2:7" ht="7.5" customHeight="1" x14ac:dyDescent="0.4">
      <c r="B75" s="16"/>
      <c r="C75" s="17"/>
      <c r="D75" s="18"/>
      <c r="E75" s="14"/>
      <c r="F75" s="14"/>
    </row>
    <row r="76" spans="2:7" x14ac:dyDescent="0.4">
      <c r="B76" s="51" t="s">
        <v>77</v>
      </c>
      <c r="C76" s="12"/>
      <c r="D76" s="12"/>
      <c r="E76" s="20"/>
      <c r="F76" s="20"/>
    </row>
    <row r="77" spans="2:7" ht="15.75" customHeight="1" x14ac:dyDescent="0.4">
      <c r="B77" s="49">
        <v>5</v>
      </c>
      <c r="C77" s="271" t="s">
        <v>0</v>
      </c>
      <c r="D77" s="271"/>
      <c r="E77" s="271"/>
      <c r="F77" s="50" t="s">
        <v>13</v>
      </c>
    </row>
    <row r="78" spans="2:7" x14ac:dyDescent="0.4">
      <c r="B78" s="44" t="s">
        <v>2</v>
      </c>
      <c r="C78" s="272" t="s">
        <v>16</v>
      </c>
      <c r="D78" s="272"/>
      <c r="E78" s="272"/>
      <c r="F78" s="60">
        <f>UNIFORMES</f>
        <v>244.71</v>
      </c>
    </row>
    <row r="79" spans="2:7" x14ac:dyDescent="0.4">
      <c r="B79" s="44" t="s">
        <v>3</v>
      </c>
      <c r="C79" s="273" t="s">
        <v>285</v>
      </c>
      <c r="D79" s="273"/>
      <c r="E79" s="273"/>
      <c r="F79" s="47">
        <f>MATERIAIS</f>
        <v>77.400000000000006</v>
      </c>
    </row>
    <row r="80" spans="2:7" x14ac:dyDescent="0.4">
      <c r="B80" s="44" t="s">
        <v>4</v>
      </c>
      <c r="C80" s="272" t="s">
        <v>286</v>
      </c>
      <c r="D80" s="272"/>
      <c r="E80" s="272"/>
      <c r="F80" s="60">
        <f>EQUIPAMENTOS</f>
        <v>8.09</v>
      </c>
    </row>
    <row r="81" spans="2:6" x14ac:dyDescent="0.4">
      <c r="B81" s="44" t="s">
        <v>5</v>
      </c>
      <c r="C81" s="324" t="str">
        <f>OUTROS_INSUMOS_DESCRICAO</f>
        <v>Outros (Especificar)</v>
      </c>
      <c r="D81" s="273"/>
      <c r="E81" s="273"/>
      <c r="F81" s="47">
        <f>OUTROS_INSUMOS</f>
        <v>0</v>
      </c>
    </row>
    <row r="82" spans="2:6" x14ac:dyDescent="0.4">
      <c r="B82" s="328" t="s">
        <v>46</v>
      </c>
      <c r="C82" s="328"/>
      <c r="D82" s="328"/>
      <c r="E82" s="328"/>
      <c r="F82" s="43">
        <f>SUM(F78:F81)</f>
        <v>330.2</v>
      </c>
    </row>
    <row r="83" spans="2:6" ht="7.5" customHeight="1" x14ac:dyDescent="0.4">
      <c r="B83" s="16"/>
      <c r="C83" s="17"/>
      <c r="D83" s="18"/>
      <c r="E83" s="14"/>
      <c r="F83" s="14"/>
    </row>
    <row r="84" spans="2:6" ht="15" customHeight="1" x14ac:dyDescent="0.4">
      <c r="B84" s="264" t="s">
        <v>76</v>
      </c>
      <c r="C84" s="264"/>
      <c r="D84" s="264"/>
      <c r="E84" s="264"/>
      <c r="F84" s="264"/>
    </row>
    <row r="85" spans="2:6" x14ac:dyDescent="0.4">
      <c r="B85" s="1">
        <v>6</v>
      </c>
      <c r="C85" s="260" t="s">
        <v>20</v>
      </c>
      <c r="D85" s="260"/>
      <c r="E85" s="4" t="s">
        <v>1</v>
      </c>
      <c r="F85" s="4" t="s">
        <v>13</v>
      </c>
    </row>
    <row r="86" spans="2:6" x14ac:dyDescent="0.4">
      <c r="B86" s="1" t="s">
        <v>2</v>
      </c>
      <c r="C86" s="298" t="s">
        <v>78</v>
      </c>
      <c r="D86" s="298"/>
      <c r="E86" s="61">
        <f>PERC_CUSTOS_INDIRETOS</f>
        <v>4.8499999999999996</v>
      </c>
      <c r="F86" s="58">
        <f>PERC_CUSTOS_INDIRETOS%*(MOD_1_REMUNERACAO_12X36_NOT+MOD_2_ENCARGOS_BENEFICIOS_12X36_NOT+MOD_3_PROVISAO_RESCISAO_12X36_NOT+MOD_4_CUSTO_REPOSICAO_12X36_NOT+MOD_5_INSUMOS_12X36_NOT)</f>
        <v>246.79</v>
      </c>
    </row>
    <row r="87" spans="2:6" ht="15.75" customHeight="1" x14ac:dyDescent="0.4">
      <c r="B87" s="2" t="s">
        <v>3</v>
      </c>
      <c r="C87" s="300" t="s">
        <v>32</v>
      </c>
      <c r="D87" s="300"/>
      <c r="E87" s="48">
        <f>PERC_LUCRO</f>
        <v>5.45</v>
      </c>
      <c r="F87" s="36">
        <f>PERC_LUCRO%*(MOD_1_REMUNERACAO_12X36_NOT+MOD_2_ENCARGOS_BENEFICIOS_12X36_NOT+MOD_3_PROVISAO_RESCISAO_12X36_NOT+MOD_4_CUSTO_REPOSICAO_12X36_NOT+MOD_5_INSUMOS_12X36_NOT+AL_6_A_CUSTOS_INDIRETOS_12X36_NOT)</f>
        <v>290.77</v>
      </c>
    </row>
    <row r="88" spans="2:6" x14ac:dyDescent="0.4">
      <c r="B88" s="2" t="s">
        <v>4</v>
      </c>
      <c r="C88" s="298" t="s">
        <v>21</v>
      </c>
      <c r="D88" s="298"/>
      <c r="E88" s="61">
        <f>SUM(E89:E91)</f>
        <v>8.65</v>
      </c>
      <c r="F88" s="58">
        <f>SUM(F89:F91)</f>
        <v>532.72</v>
      </c>
    </row>
    <row r="89" spans="2:6" ht="15.75" customHeight="1" x14ac:dyDescent="0.4">
      <c r="B89" s="30" t="s">
        <v>79</v>
      </c>
      <c r="C89" s="326" t="s">
        <v>23</v>
      </c>
      <c r="D89" s="326"/>
      <c r="E89" s="31">
        <f>PERC_PIS</f>
        <v>0.65</v>
      </c>
      <c r="F89" s="63">
        <f>((MOD_1_REMUNERACAO_12X36_NOT+MOD_2_ENCARGOS_BENEFICIOS_12X36_NOT+MOD_3_PROVISAO_RESCISAO_12X36_NOT+MOD_4_CUSTO_REPOSICAO_12X36_NOT+MOD_5_INSUMOS_12X36_NOT+AL_6_A_CUSTOS_INDIRETOS_12X36_NOT+AL_6_B_LUCRO_12X36_NOT)*PERC_PIS%)/(1-PERC_TRIBUTOS%)</f>
        <v>40.03</v>
      </c>
    </row>
    <row r="90" spans="2:6" x14ac:dyDescent="0.4">
      <c r="B90" s="30" t="s">
        <v>80</v>
      </c>
      <c r="C90" s="327" t="s">
        <v>24</v>
      </c>
      <c r="D90" s="327"/>
      <c r="E90" s="62">
        <f>PERC_COFINS</f>
        <v>3</v>
      </c>
      <c r="F90" s="64">
        <f>((MOD_1_REMUNERACAO_12X36_NOT+MOD_2_ENCARGOS_BENEFICIOS_12X36_NOT+MOD_3_PROVISAO_RESCISAO_12X36_NOT+MOD_4_CUSTO_REPOSICAO_12X36_NOT+MOD_5_INSUMOS_12X36_NOT+AL_6_A_CUSTOS_INDIRETOS_12X36_NOT+AL_6_B_LUCRO_12X36_NOT)*PERC_COFINS%)/(1-PERC_TRIBUTOS%)</f>
        <v>184.76</v>
      </c>
    </row>
    <row r="91" spans="2:6" s="108" customFormat="1" x14ac:dyDescent="0.4">
      <c r="B91" s="30" t="s">
        <v>81</v>
      </c>
      <c r="C91" s="326" t="s">
        <v>25</v>
      </c>
      <c r="D91" s="326"/>
      <c r="E91" s="31">
        <f>PERC_ISS</f>
        <v>5</v>
      </c>
      <c r="F91" s="63">
        <f>((MOD_1_REMUNERACAO_12X36_NOT+MOD_2_ENCARGOS_BENEFICIOS_12X36_NOT+MOD_3_PROVISAO_RESCISAO_12X36_NOT+MOD_4_CUSTO_REPOSICAO_12X36_NOT+MOD_5_INSUMOS_12X36_NOT+AL_6_A_CUSTOS_INDIRETOS_12X36_NOT+AL_6_B_LUCRO_12X36_NOT)*PERC_ISS%)/(1-PERC_TRIBUTOS%)</f>
        <v>307.93</v>
      </c>
    </row>
    <row r="92" spans="2:6" s="108" customFormat="1" x14ac:dyDescent="0.4">
      <c r="B92" s="268" t="s">
        <v>46</v>
      </c>
      <c r="C92" s="269"/>
      <c r="D92" s="269"/>
      <c r="E92" s="270"/>
      <c r="F92" s="37">
        <f>AL_6_A_CUSTOS_INDIRETOS_12X36_NOT+AL_6_B_LUCRO_12X36_NOT+AL_6_C_TRIBUTOS_12X36_NOT</f>
        <v>1070.28</v>
      </c>
    </row>
    <row r="93" spans="2:6" s="108" customFormat="1" x14ac:dyDescent="0.4">
      <c r="B93" s="264" t="s">
        <v>261</v>
      </c>
      <c r="C93" s="264"/>
      <c r="D93" s="264"/>
      <c r="E93" s="264"/>
      <c r="F93" s="264"/>
    </row>
    <row r="94" spans="2:6" s="108" customFormat="1" x14ac:dyDescent="0.4">
      <c r="B94" s="147" t="s">
        <v>2</v>
      </c>
      <c r="C94" s="275" t="str">
        <f>'INSERÇÃO-DE-DADOS'!C86:E86</f>
        <v>Dia do Vigilante - Clausula 82ª CCT - Jornada 12x36 noturno</v>
      </c>
      <c r="D94" s="276"/>
      <c r="E94" s="277"/>
      <c r="F94" s="57">
        <f>'INSERÇÃO-DE-DADOS'!F86</f>
        <v>11.69</v>
      </c>
    </row>
    <row r="95" spans="2:6" s="108" customFormat="1" ht="20.399999999999999" x14ac:dyDescent="0.4">
      <c r="B95" s="52" t="s">
        <v>53</v>
      </c>
      <c r="C95" s="15"/>
      <c r="D95" s="15"/>
      <c r="E95" s="15"/>
      <c r="F95" s="23"/>
    </row>
    <row r="96" spans="2:6" s="109" customFormat="1" ht="16.5" customHeight="1" x14ac:dyDescent="0.4">
      <c r="B96" s="2" t="s">
        <v>98</v>
      </c>
      <c r="C96" s="257" t="s">
        <v>99</v>
      </c>
      <c r="D96" s="258"/>
      <c r="E96" s="259"/>
      <c r="F96" s="4" t="s">
        <v>17</v>
      </c>
    </row>
    <row r="97" spans="2:6" s="108" customFormat="1" x14ac:dyDescent="0.4">
      <c r="B97" s="1">
        <v>1</v>
      </c>
      <c r="C97" s="298" t="s">
        <v>9</v>
      </c>
      <c r="D97" s="298"/>
      <c r="E97" s="298"/>
      <c r="F97" s="58">
        <f>MOD_1_REMUNERACAO_12X36_NOT</f>
        <v>2291.19</v>
      </c>
    </row>
    <row r="98" spans="2:6" s="110" customFormat="1" ht="16.5" customHeight="1" x14ac:dyDescent="0.4">
      <c r="B98" s="2">
        <v>2</v>
      </c>
      <c r="C98" s="300" t="s">
        <v>100</v>
      </c>
      <c r="D98" s="300"/>
      <c r="E98" s="300"/>
      <c r="F98" s="36">
        <f>MOD_2_ENCARGOS_BENEFICIOS_12X36_NOT</f>
        <v>1701.84</v>
      </c>
    </row>
    <row r="99" spans="2:6" s="110" customFormat="1" x14ac:dyDescent="0.4">
      <c r="B99" s="2">
        <v>3</v>
      </c>
      <c r="C99" s="298" t="s">
        <v>48</v>
      </c>
      <c r="D99" s="298"/>
      <c r="E99" s="298"/>
      <c r="F99" s="58">
        <f>MOD_3_PROVISAO_RESCISAO_12X36_NOT</f>
        <v>56.57</v>
      </c>
    </row>
    <row r="100" spans="2:6" s="110" customFormat="1" x14ac:dyDescent="0.4">
      <c r="B100" s="2">
        <v>4</v>
      </c>
      <c r="C100" s="300" t="s">
        <v>51</v>
      </c>
      <c r="D100" s="300"/>
      <c r="E100" s="300"/>
      <c r="F100" s="36">
        <f>MOD_4_CUSTO_REPOSICAO_12X36_NOT</f>
        <v>708.6</v>
      </c>
    </row>
    <row r="101" spans="2:6" s="110" customFormat="1" x14ac:dyDescent="0.4">
      <c r="B101" s="2">
        <v>5</v>
      </c>
      <c r="C101" s="298" t="s">
        <v>0</v>
      </c>
      <c r="D101" s="298"/>
      <c r="E101" s="298"/>
      <c r="F101" s="58">
        <f>MOD_5_INSUMOS_12X36_NOT</f>
        <v>330.2</v>
      </c>
    </row>
    <row r="102" spans="2:6" s="110" customFormat="1" x14ac:dyDescent="0.4">
      <c r="B102" s="2">
        <v>6</v>
      </c>
      <c r="C102" s="300" t="s">
        <v>20</v>
      </c>
      <c r="D102" s="300"/>
      <c r="E102" s="300"/>
      <c r="F102" s="36">
        <f>MOD_6_CUSTOS_IND_LUCRO_TRIB_12X36_NOT</f>
        <v>1070.28</v>
      </c>
    </row>
    <row r="103" spans="2:6" s="110" customFormat="1" ht="18.75" customHeight="1" x14ac:dyDescent="0.4">
      <c r="B103" s="2">
        <v>7</v>
      </c>
      <c r="C103" s="305" t="str">
        <f>C94</f>
        <v>Dia do Vigilante - Clausula 82ª CCT - Jornada 12x36 noturno</v>
      </c>
      <c r="D103" s="306"/>
      <c r="E103" s="307"/>
      <c r="F103" s="36">
        <f>F94</f>
        <v>11.69</v>
      </c>
    </row>
    <row r="104" spans="2:6" ht="16.5" customHeight="1" x14ac:dyDescent="0.4">
      <c r="B104" s="302" t="s">
        <v>101</v>
      </c>
      <c r="C104" s="302"/>
      <c r="D104" s="302"/>
      <c r="E104" s="302"/>
      <c r="F104" s="37">
        <f>SUM(F97:F103)</f>
        <v>6170.37</v>
      </c>
    </row>
    <row r="105" spans="2:6" ht="16.5" customHeight="1" x14ac:dyDescent="0.4">
      <c r="B105" s="302" t="s">
        <v>30</v>
      </c>
      <c r="C105" s="302"/>
      <c r="D105" s="302"/>
      <c r="E105" s="302"/>
      <c r="F105" s="37">
        <f>VALOR_TOTAL_EMPREGADO_12x36_NOT*EMPREG_POR_POSTO_12X36_NOT</f>
        <v>12340.74</v>
      </c>
    </row>
  </sheetData>
  <mergeCells count="94">
    <mergeCell ref="B93:F93"/>
    <mergeCell ref="C94:E94"/>
    <mergeCell ref="C103:E103"/>
    <mergeCell ref="C102:E102"/>
    <mergeCell ref="B104:E104"/>
    <mergeCell ref="B105:E105"/>
    <mergeCell ref="C96:E96"/>
    <mergeCell ref="C97:E97"/>
    <mergeCell ref="C98:E98"/>
    <mergeCell ref="C99:E99"/>
    <mergeCell ref="C100:E100"/>
    <mergeCell ref="C101:E101"/>
    <mergeCell ref="B92:E92"/>
    <mergeCell ref="C80:E80"/>
    <mergeCell ref="C81:E81"/>
    <mergeCell ref="B82:E82"/>
    <mergeCell ref="B84:F84"/>
    <mergeCell ref="C85:D85"/>
    <mergeCell ref="C86:D86"/>
    <mergeCell ref="C87:D87"/>
    <mergeCell ref="C88:D88"/>
    <mergeCell ref="C89:D89"/>
    <mergeCell ref="C90:D90"/>
    <mergeCell ref="C91:D91"/>
    <mergeCell ref="C79:E79"/>
    <mergeCell ref="C66:D66"/>
    <mergeCell ref="C67:D67"/>
    <mergeCell ref="C68:D68"/>
    <mergeCell ref="C69:D69"/>
    <mergeCell ref="B70:E70"/>
    <mergeCell ref="C72:E72"/>
    <mergeCell ref="C73:E73"/>
    <mergeCell ref="B74:E74"/>
    <mergeCell ref="C77:E77"/>
    <mergeCell ref="C78:E78"/>
    <mergeCell ref="C65:D65"/>
    <mergeCell ref="C50:E50"/>
    <mergeCell ref="C51:E51"/>
    <mergeCell ref="C52:E52"/>
    <mergeCell ref="B53:E53"/>
    <mergeCell ref="C55:D55"/>
    <mergeCell ref="C56:D56"/>
    <mergeCell ref="C57:D57"/>
    <mergeCell ref="C58:D58"/>
    <mergeCell ref="B59:E59"/>
    <mergeCell ref="C63:D63"/>
    <mergeCell ref="C64:D64"/>
    <mergeCell ref="C49:E49"/>
    <mergeCell ref="C37:D37"/>
    <mergeCell ref="C38:D38"/>
    <mergeCell ref="C39:D39"/>
    <mergeCell ref="C40:D40"/>
    <mergeCell ref="C41:D41"/>
    <mergeCell ref="C42:D42"/>
    <mergeCell ref="C43:D43"/>
    <mergeCell ref="C44:D44"/>
    <mergeCell ref="B45:E45"/>
    <mergeCell ref="C47:E47"/>
    <mergeCell ref="C48:E48"/>
    <mergeCell ref="C36:D36"/>
    <mergeCell ref="C24:E24"/>
    <mergeCell ref="C25:E25"/>
    <mergeCell ref="C26:E26"/>
    <mergeCell ref="C27:E27"/>
    <mergeCell ref="B28:E28"/>
    <mergeCell ref="C31:D31"/>
    <mergeCell ref="C32:D32"/>
    <mergeCell ref="C33:D33"/>
    <mergeCell ref="B34:E34"/>
    <mergeCell ref="B35:F35"/>
    <mergeCell ref="C23:E23"/>
    <mergeCell ref="C11:E11"/>
    <mergeCell ref="C12:E12"/>
    <mergeCell ref="C14:D14"/>
    <mergeCell ref="E14:F14"/>
    <mergeCell ref="D15:F15"/>
    <mergeCell ref="D16:F16"/>
    <mergeCell ref="C17:E17"/>
    <mergeCell ref="B18:F18"/>
    <mergeCell ref="B19:E19"/>
    <mergeCell ref="C21:E21"/>
    <mergeCell ref="C22:E22"/>
    <mergeCell ref="C10:E10"/>
    <mergeCell ref="B1:F1"/>
    <mergeCell ref="B2:D2"/>
    <mergeCell ref="B3:F3"/>
    <mergeCell ref="B4:F4"/>
    <mergeCell ref="B5:C5"/>
    <mergeCell ref="D5:F5"/>
    <mergeCell ref="B6:C6"/>
    <mergeCell ref="D6:E6"/>
    <mergeCell ref="B7:F7"/>
    <mergeCell ref="C8:E8"/>
    <mergeCell ref="D9:F9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26</vt:i4>
      </vt:variant>
      <vt:variant>
        <vt:lpstr>Intervalos nomeados</vt:lpstr>
      </vt:variant>
      <vt:variant>
        <vt:i4>671</vt:i4>
      </vt:variant>
    </vt:vector>
  </HeadingPairs>
  <TitlesOfParts>
    <vt:vector size="697" baseType="lpstr">
      <vt:lpstr>INSERÇÃO-DE-DADOS</vt:lpstr>
      <vt:lpstr>DADOS-ESTATISTICOS</vt:lpstr>
      <vt:lpstr>ENCARGOS-SOCIAIS-E-TRABALHISTAS</vt:lpstr>
      <vt:lpstr>POSTO 12x36 HORAS - DIURNO BEL</vt:lpstr>
      <vt:lpstr>POSTO 12x36 HORAS - NOTURNO BEL</vt:lpstr>
      <vt:lpstr>POSTO 44 HORAS BEL</vt:lpstr>
      <vt:lpstr>LIMITES-SEGES</vt:lpstr>
      <vt:lpstr>POSTO 12x36 HORAS - DIURNO (STM</vt:lpstr>
      <vt:lpstr>POSTO 12x36 HORAS - NOTURNO STM</vt:lpstr>
      <vt:lpstr>POSTO 44 HORAS (STM)</vt:lpstr>
      <vt:lpstr>POSTO 12x36 HORAS - DIURNO TUU</vt:lpstr>
      <vt:lpstr>POSTO 12x36 HORAS - NOTURNO TUU</vt:lpstr>
      <vt:lpstr>POSTO 12x36 HORAS - DIURNO RDO</vt:lpstr>
      <vt:lpstr>POSTO 12x36 HORAS - NOTURNO RDO</vt:lpstr>
      <vt:lpstr>POSTO 12x36 HORAS - DIURNO PGN</vt:lpstr>
      <vt:lpstr>POSTO 12x36 HORAS - NOTURNO PGN</vt:lpstr>
      <vt:lpstr>POSTO 12x36 HORAS - DIURNO MAB</vt:lpstr>
      <vt:lpstr>POSTO 12x36 HORAS - NOTURNO MAB</vt:lpstr>
      <vt:lpstr>POSTO 12x36 HORAS - DIURNO ITA</vt:lpstr>
      <vt:lpstr>POSTO 12x36 HORAS - NOTURNO ITA</vt:lpstr>
      <vt:lpstr>POSTO 12x36 HORAS - DIURNO ATM</vt:lpstr>
      <vt:lpstr>POSTO 12x36 HORAS - NOTURNO ATM</vt:lpstr>
      <vt:lpstr>POSTO 44 HORAS ATM</vt:lpstr>
      <vt:lpstr>POSTO 12x36 HORAS - DIURNO (CAS</vt:lpstr>
      <vt:lpstr>POSTO 12x36 HORAS - NOTU - CAST</vt:lpstr>
      <vt:lpstr>QUADRO-RESUMO</vt:lpstr>
      <vt:lpstr>A</vt:lpstr>
      <vt:lpstr>ACORDO_COLETIVO</vt:lpstr>
      <vt:lpstr>'POSTO 12x36 HORAS - DIURNO (CAS'!AL_1_A_SAL_BASE_12X36_DIU</vt:lpstr>
      <vt:lpstr>'POSTO 12x36 HORAS - DIURNO (STM'!AL_1_A_SAL_BASE_12X36_DIU</vt:lpstr>
      <vt:lpstr>'POSTO 12x36 HORAS - DIURNO ATM'!AL_1_A_SAL_BASE_12X36_DIU</vt:lpstr>
      <vt:lpstr>'POSTO 12x36 HORAS - DIURNO ITA'!AL_1_A_SAL_BASE_12X36_DIU</vt:lpstr>
      <vt:lpstr>'POSTO 12x36 HORAS - DIURNO MAB'!AL_1_A_SAL_BASE_12X36_DIU</vt:lpstr>
      <vt:lpstr>'POSTO 12x36 HORAS - DIURNO PGN'!AL_1_A_SAL_BASE_12X36_DIU</vt:lpstr>
      <vt:lpstr>'POSTO 12x36 HORAS - DIURNO RDO'!AL_1_A_SAL_BASE_12X36_DIU</vt:lpstr>
      <vt:lpstr>'POSTO 12x36 HORAS - DIURNO TUU'!AL_1_A_SAL_BASE_12X36_DIU</vt:lpstr>
      <vt:lpstr>AL_1_A_SAL_BASE_12X36_DIU</vt:lpstr>
      <vt:lpstr>'POSTO 12x36 HORAS - NOTU - CAST'!AL_1_A_SAL_BASE_12X36_NOT</vt:lpstr>
      <vt:lpstr>'POSTO 12x36 HORAS - NOTURNO ATM'!AL_1_A_SAL_BASE_12X36_NOT</vt:lpstr>
      <vt:lpstr>'POSTO 12x36 HORAS - NOTURNO ITA'!AL_1_A_SAL_BASE_12X36_NOT</vt:lpstr>
      <vt:lpstr>'POSTO 12x36 HORAS - NOTURNO MAB'!AL_1_A_SAL_BASE_12X36_NOT</vt:lpstr>
      <vt:lpstr>'POSTO 12x36 HORAS - NOTURNO PGN'!AL_1_A_SAL_BASE_12X36_NOT</vt:lpstr>
      <vt:lpstr>'POSTO 12x36 HORAS - NOTURNO RDO'!AL_1_A_SAL_BASE_12X36_NOT</vt:lpstr>
      <vt:lpstr>'POSTO 12x36 HORAS - NOTURNO STM'!AL_1_A_SAL_BASE_12X36_NOT</vt:lpstr>
      <vt:lpstr>'POSTO 12x36 HORAS - NOTURNO TUU'!AL_1_A_SAL_BASE_12X36_NOT</vt:lpstr>
      <vt:lpstr>AL_1_A_SAL_BASE_12X36_NOT</vt:lpstr>
      <vt:lpstr>'POSTO 44 HORAS (STM)'!AL_1_A_SAL_BASE_44H</vt:lpstr>
      <vt:lpstr>'POSTO 44 HORAS ATM'!AL_1_A_SAL_BASE_44H</vt:lpstr>
      <vt:lpstr>AL_1_A_SAL_BASE_44H</vt:lpstr>
      <vt:lpstr>'POSTO 12x36 HORAS - DIURNO (CAS'!AL_1_B_ADIC_PERIC_12X36_DIU</vt:lpstr>
      <vt:lpstr>'POSTO 12x36 HORAS - DIURNO (STM'!AL_1_B_ADIC_PERIC_12X36_DIU</vt:lpstr>
      <vt:lpstr>'POSTO 12x36 HORAS - DIURNO ATM'!AL_1_B_ADIC_PERIC_12X36_DIU</vt:lpstr>
      <vt:lpstr>'POSTO 12x36 HORAS - DIURNO ITA'!AL_1_B_ADIC_PERIC_12X36_DIU</vt:lpstr>
      <vt:lpstr>'POSTO 12x36 HORAS - DIURNO MAB'!AL_1_B_ADIC_PERIC_12X36_DIU</vt:lpstr>
      <vt:lpstr>'POSTO 12x36 HORAS - DIURNO PGN'!AL_1_B_ADIC_PERIC_12X36_DIU</vt:lpstr>
      <vt:lpstr>'POSTO 12x36 HORAS - DIURNO RDO'!AL_1_B_ADIC_PERIC_12X36_DIU</vt:lpstr>
      <vt:lpstr>'POSTO 12x36 HORAS - DIURNO TUU'!AL_1_B_ADIC_PERIC_12X36_DIU</vt:lpstr>
      <vt:lpstr>AL_1_B_ADIC_PERIC_12X36_DIU</vt:lpstr>
      <vt:lpstr>'POSTO 12x36 HORAS - NOTU - CAST'!AL_1_B_ADIC_PERIC_12X36_NOT</vt:lpstr>
      <vt:lpstr>'POSTO 12x36 HORAS - NOTURNO ATM'!AL_1_B_ADIC_PERIC_12X36_NOT</vt:lpstr>
      <vt:lpstr>'POSTO 12x36 HORAS - NOTURNO ITA'!AL_1_B_ADIC_PERIC_12X36_NOT</vt:lpstr>
      <vt:lpstr>'POSTO 12x36 HORAS - NOTURNO MAB'!AL_1_B_ADIC_PERIC_12X36_NOT</vt:lpstr>
      <vt:lpstr>'POSTO 12x36 HORAS - NOTURNO PGN'!AL_1_B_ADIC_PERIC_12X36_NOT</vt:lpstr>
      <vt:lpstr>'POSTO 12x36 HORAS - NOTURNO RDO'!AL_1_B_ADIC_PERIC_12X36_NOT</vt:lpstr>
      <vt:lpstr>'POSTO 12x36 HORAS - NOTURNO STM'!AL_1_B_ADIC_PERIC_12X36_NOT</vt:lpstr>
      <vt:lpstr>'POSTO 12x36 HORAS - NOTURNO TUU'!AL_1_B_ADIC_PERIC_12X36_NOT</vt:lpstr>
      <vt:lpstr>AL_1_B_ADIC_PERIC_12X36_NOT</vt:lpstr>
      <vt:lpstr>'POSTO 44 HORAS (STM)'!AL_1_B_ADIC_PERIC_44H</vt:lpstr>
      <vt:lpstr>'POSTO 44 HORAS ATM'!AL_1_B_ADIC_PERIC_44H</vt:lpstr>
      <vt:lpstr>AL_1_B_ADIC_PERIC_44H</vt:lpstr>
      <vt:lpstr>'POSTO 12x36 HORAS - NOTU - CAST'!AL_1_C_ADIC_NOT_12X36_NOT</vt:lpstr>
      <vt:lpstr>'POSTO 12x36 HORAS - NOTURNO ATM'!AL_1_C_ADIC_NOT_12X36_NOT</vt:lpstr>
      <vt:lpstr>'POSTO 12x36 HORAS - NOTURNO ITA'!AL_1_C_ADIC_NOT_12X36_NOT</vt:lpstr>
      <vt:lpstr>'POSTO 12x36 HORAS - NOTURNO MAB'!AL_1_C_ADIC_NOT_12X36_NOT</vt:lpstr>
      <vt:lpstr>'POSTO 12x36 HORAS - NOTURNO PGN'!AL_1_C_ADIC_NOT_12X36_NOT</vt:lpstr>
      <vt:lpstr>'POSTO 12x36 HORAS - NOTURNO RDO'!AL_1_C_ADIC_NOT_12X36_NOT</vt:lpstr>
      <vt:lpstr>'POSTO 12x36 HORAS - NOTURNO STM'!AL_1_C_ADIC_NOT_12X36_NOT</vt:lpstr>
      <vt:lpstr>'POSTO 12x36 HORAS - NOTURNO TUU'!AL_1_C_ADIC_NOT_12X36_NOT</vt:lpstr>
      <vt:lpstr>AL_1_C_ADIC_NOT_12X36_NOT</vt:lpstr>
      <vt:lpstr>'POSTO 12x36 HORAS - NOTU - CAST'!AL_1_D_ADIC_NOT_RED_12X36_NOT</vt:lpstr>
      <vt:lpstr>'POSTO 12x36 HORAS - NOTURNO ATM'!AL_1_D_ADIC_NOT_RED_12X36_NOT</vt:lpstr>
      <vt:lpstr>'POSTO 12x36 HORAS - NOTURNO ITA'!AL_1_D_ADIC_NOT_RED_12X36_NOT</vt:lpstr>
      <vt:lpstr>'POSTO 12x36 HORAS - NOTURNO MAB'!AL_1_D_ADIC_NOT_RED_12X36_NOT</vt:lpstr>
      <vt:lpstr>'POSTO 12x36 HORAS - NOTURNO PGN'!AL_1_D_ADIC_NOT_RED_12X36_NOT</vt:lpstr>
      <vt:lpstr>'POSTO 12x36 HORAS - NOTURNO RDO'!AL_1_D_ADIC_NOT_RED_12X36_NOT</vt:lpstr>
      <vt:lpstr>'POSTO 12x36 HORAS - NOTURNO STM'!AL_1_D_ADIC_NOT_RED_12X36_NOT</vt:lpstr>
      <vt:lpstr>'POSTO 12x36 HORAS - NOTURNO TUU'!AL_1_D_ADIC_NOT_RED_12X36_NOT</vt:lpstr>
      <vt:lpstr>AL_1_D_ADIC_NOT_RED_12X36_NOT</vt:lpstr>
      <vt:lpstr>'POSTO 12x36 HORAS - DIURNO (CAS'!AL_2_1_A_DEC_TERC_12X36_DIU</vt:lpstr>
      <vt:lpstr>'POSTO 12x36 HORAS - DIURNO (STM'!AL_2_1_A_DEC_TERC_12X36_DIU</vt:lpstr>
      <vt:lpstr>'POSTO 12x36 HORAS - DIURNO ATM'!AL_2_1_A_DEC_TERC_12X36_DIU</vt:lpstr>
      <vt:lpstr>'POSTO 12x36 HORAS - DIURNO ITA'!AL_2_1_A_DEC_TERC_12X36_DIU</vt:lpstr>
      <vt:lpstr>'POSTO 12x36 HORAS - DIURNO MAB'!AL_2_1_A_DEC_TERC_12X36_DIU</vt:lpstr>
      <vt:lpstr>'POSTO 12x36 HORAS - DIURNO PGN'!AL_2_1_A_DEC_TERC_12X36_DIU</vt:lpstr>
      <vt:lpstr>'POSTO 12x36 HORAS - DIURNO RDO'!AL_2_1_A_DEC_TERC_12X36_DIU</vt:lpstr>
      <vt:lpstr>'POSTO 12x36 HORAS - DIURNO TUU'!AL_2_1_A_DEC_TERC_12X36_DIU</vt:lpstr>
      <vt:lpstr>AL_2_1_A_DEC_TERC_12X36_DIU</vt:lpstr>
      <vt:lpstr>'POSTO 12x36 HORAS - NOTU - CAST'!AL_2_1_A_DEC_TERC_12X36_NOT</vt:lpstr>
      <vt:lpstr>'POSTO 12x36 HORAS - NOTURNO ATM'!AL_2_1_A_DEC_TERC_12X36_NOT</vt:lpstr>
      <vt:lpstr>'POSTO 12x36 HORAS - NOTURNO ITA'!AL_2_1_A_DEC_TERC_12X36_NOT</vt:lpstr>
      <vt:lpstr>'POSTO 12x36 HORAS - NOTURNO MAB'!AL_2_1_A_DEC_TERC_12X36_NOT</vt:lpstr>
      <vt:lpstr>'POSTO 12x36 HORAS - NOTURNO PGN'!AL_2_1_A_DEC_TERC_12X36_NOT</vt:lpstr>
      <vt:lpstr>'POSTO 12x36 HORAS - NOTURNO RDO'!AL_2_1_A_DEC_TERC_12X36_NOT</vt:lpstr>
      <vt:lpstr>'POSTO 12x36 HORAS - NOTURNO STM'!AL_2_1_A_DEC_TERC_12X36_NOT</vt:lpstr>
      <vt:lpstr>'POSTO 12x36 HORAS - NOTURNO TUU'!AL_2_1_A_DEC_TERC_12X36_NOT</vt:lpstr>
      <vt:lpstr>AL_2_1_A_DEC_TERC_12X36_NOT</vt:lpstr>
      <vt:lpstr>'POSTO 12x36 HORAS - DIURNO (CAS'!AL_2_1_B_ADIC_FERIAS_12X36_DIU</vt:lpstr>
      <vt:lpstr>'POSTO 12x36 HORAS - DIURNO (STM'!AL_2_1_B_ADIC_FERIAS_12X36_DIU</vt:lpstr>
      <vt:lpstr>'POSTO 12x36 HORAS - DIURNO ATM'!AL_2_1_B_ADIC_FERIAS_12X36_DIU</vt:lpstr>
      <vt:lpstr>'POSTO 12x36 HORAS - DIURNO ITA'!AL_2_1_B_ADIC_FERIAS_12X36_DIU</vt:lpstr>
      <vt:lpstr>'POSTO 12x36 HORAS - DIURNO MAB'!AL_2_1_B_ADIC_FERIAS_12X36_DIU</vt:lpstr>
      <vt:lpstr>'POSTO 12x36 HORAS - DIURNO PGN'!AL_2_1_B_ADIC_FERIAS_12X36_DIU</vt:lpstr>
      <vt:lpstr>'POSTO 12x36 HORAS - DIURNO RDO'!AL_2_1_B_ADIC_FERIAS_12X36_DIU</vt:lpstr>
      <vt:lpstr>'POSTO 12x36 HORAS - DIURNO TUU'!AL_2_1_B_ADIC_FERIAS_12X36_DIU</vt:lpstr>
      <vt:lpstr>AL_2_1_B_ADIC_FERIAS_12X36_DIU</vt:lpstr>
      <vt:lpstr>'POSTO 12x36 HORAS - NOTU - CAST'!AL_2_1_B_ADIC_FERIAS_12X36_NOT</vt:lpstr>
      <vt:lpstr>'POSTO 12x36 HORAS - NOTURNO ATM'!AL_2_1_B_ADIC_FERIAS_12X36_NOT</vt:lpstr>
      <vt:lpstr>'POSTO 12x36 HORAS - NOTURNO ITA'!AL_2_1_B_ADIC_FERIAS_12X36_NOT</vt:lpstr>
      <vt:lpstr>'POSTO 12x36 HORAS - NOTURNO MAB'!AL_2_1_B_ADIC_FERIAS_12X36_NOT</vt:lpstr>
      <vt:lpstr>'POSTO 12x36 HORAS - NOTURNO PGN'!AL_2_1_B_ADIC_FERIAS_12X36_NOT</vt:lpstr>
      <vt:lpstr>'POSTO 12x36 HORAS - NOTURNO RDO'!AL_2_1_B_ADIC_FERIAS_12X36_NOT</vt:lpstr>
      <vt:lpstr>'POSTO 12x36 HORAS - NOTURNO STM'!AL_2_1_B_ADIC_FERIAS_12X36_NOT</vt:lpstr>
      <vt:lpstr>'POSTO 12x36 HORAS - NOTURNO TUU'!AL_2_1_B_ADIC_FERIAS_12X36_NOT</vt:lpstr>
      <vt:lpstr>AL_2_1_B_ADIC_FERIAS_12X36_NOT</vt:lpstr>
      <vt:lpstr>'POSTO 12x36 HORAS - DIURNO (CAS'!AL_2_2_FGTS_12X36_DIU</vt:lpstr>
      <vt:lpstr>'POSTO 12x36 HORAS - DIURNO (STM'!AL_2_2_FGTS_12X36_DIU</vt:lpstr>
      <vt:lpstr>'POSTO 12x36 HORAS - DIURNO ATM'!AL_2_2_FGTS_12X36_DIU</vt:lpstr>
      <vt:lpstr>'POSTO 12x36 HORAS - DIURNO ITA'!AL_2_2_FGTS_12X36_DIU</vt:lpstr>
      <vt:lpstr>'POSTO 12x36 HORAS - DIURNO MAB'!AL_2_2_FGTS_12X36_DIU</vt:lpstr>
      <vt:lpstr>'POSTO 12x36 HORAS - DIURNO PGN'!AL_2_2_FGTS_12X36_DIU</vt:lpstr>
      <vt:lpstr>'POSTO 12x36 HORAS - DIURNO RDO'!AL_2_2_FGTS_12X36_DIU</vt:lpstr>
      <vt:lpstr>'POSTO 12x36 HORAS - DIURNO TUU'!AL_2_2_FGTS_12X36_DIU</vt:lpstr>
      <vt:lpstr>AL_2_2_FGTS_12X36_DIU</vt:lpstr>
      <vt:lpstr>'POSTO 12x36 HORAS - NOTU - CAST'!AL_2_2_FGTS_12X36_NOT</vt:lpstr>
      <vt:lpstr>'POSTO 12x36 HORAS - NOTURNO ATM'!AL_2_2_FGTS_12X36_NOT</vt:lpstr>
      <vt:lpstr>'POSTO 12x36 HORAS - NOTURNO ITA'!AL_2_2_FGTS_12X36_NOT</vt:lpstr>
      <vt:lpstr>'POSTO 12x36 HORAS - NOTURNO MAB'!AL_2_2_FGTS_12X36_NOT</vt:lpstr>
      <vt:lpstr>'POSTO 12x36 HORAS - NOTURNO PGN'!AL_2_2_FGTS_12X36_NOT</vt:lpstr>
      <vt:lpstr>'POSTO 12x36 HORAS - NOTURNO RDO'!AL_2_2_FGTS_12X36_NOT</vt:lpstr>
      <vt:lpstr>'POSTO 12x36 HORAS - NOTURNO STM'!AL_2_2_FGTS_12X36_NOT</vt:lpstr>
      <vt:lpstr>'POSTO 12x36 HORAS - NOTURNO TUU'!AL_2_2_FGTS_12X36_NOT</vt:lpstr>
      <vt:lpstr>AL_2_2_FGTS_12X36_NOT</vt:lpstr>
      <vt:lpstr>'POSTO 44 HORAS (STM)'!AL_2_2_FGTS_44H</vt:lpstr>
      <vt:lpstr>'POSTO 44 HORAS ATM'!AL_2_2_FGTS_44H</vt:lpstr>
      <vt:lpstr>AL_2_2_FGTS_44H</vt:lpstr>
      <vt:lpstr>'POSTO 12x36 HORAS - DIURNO (CAS'!AL_2_3_A_TRANSP_12X36_DIU</vt:lpstr>
      <vt:lpstr>'POSTO 12x36 HORAS - DIURNO (STM'!AL_2_3_A_TRANSP_12X36_DIU</vt:lpstr>
      <vt:lpstr>'POSTO 12x36 HORAS - DIURNO ATM'!AL_2_3_A_TRANSP_12X36_DIU</vt:lpstr>
      <vt:lpstr>'POSTO 12x36 HORAS - DIURNO ITA'!AL_2_3_A_TRANSP_12X36_DIU</vt:lpstr>
      <vt:lpstr>'POSTO 12x36 HORAS - DIURNO MAB'!AL_2_3_A_TRANSP_12X36_DIU</vt:lpstr>
      <vt:lpstr>'POSTO 12x36 HORAS - DIURNO PGN'!AL_2_3_A_TRANSP_12X36_DIU</vt:lpstr>
      <vt:lpstr>'POSTO 12x36 HORAS - DIURNO RDO'!AL_2_3_A_TRANSP_12X36_DIU</vt:lpstr>
      <vt:lpstr>'POSTO 12x36 HORAS - DIURNO TUU'!AL_2_3_A_TRANSP_12X36_DIU</vt:lpstr>
      <vt:lpstr>AL_2_3_A_TRANSP_12X36_DIU</vt:lpstr>
      <vt:lpstr>'POSTO 12x36 HORAS - NOTU - CAST'!AL_2_3_A_TRANSP_12X36_NOT</vt:lpstr>
      <vt:lpstr>'POSTO 12x36 HORAS - NOTURNO ATM'!AL_2_3_A_TRANSP_12X36_NOT</vt:lpstr>
      <vt:lpstr>'POSTO 12x36 HORAS - NOTURNO ITA'!AL_2_3_A_TRANSP_12X36_NOT</vt:lpstr>
      <vt:lpstr>'POSTO 12x36 HORAS - NOTURNO MAB'!AL_2_3_A_TRANSP_12X36_NOT</vt:lpstr>
      <vt:lpstr>'POSTO 12x36 HORAS - NOTURNO PGN'!AL_2_3_A_TRANSP_12X36_NOT</vt:lpstr>
      <vt:lpstr>'POSTO 12x36 HORAS - NOTURNO RDO'!AL_2_3_A_TRANSP_12X36_NOT</vt:lpstr>
      <vt:lpstr>'POSTO 12x36 HORAS - NOTURNO STM'!AL_2_3_A_TRANSP_12X36_NOT</vt:lpstr>
      <vt:lpstr>'POSTO 12x36 HORAS - NOTURNO TUU'!AL_2_3_A_TRANSP_12X36_NOT</vt:lpstr>
      <vt:lpstr>AL_2_3_A_TRANSP_12X36_NOT</vt:lpstr>
      <vt:lpstr>'POSTO 44 HORAS (STM)'!AL_2_3_A_TRANSP_44H</vt:lpstr>
      <vt:lpstr>'POSTO 44 HORAS ATM'!AL_2_3_A_TRANSP_44H</vt:lpstr>
      <vt:lpstr>AL_2_3_A_TRANSP_44H</vt:lpstr>
      <vt:lpstr>'POSTO 12x36 HORAS - DIURNO (CAS'!AL_2_3_B_AUX_ALIMENT_12X36_DIU</vt:lpstr>
      <vt:lpstr>'POSTO 12x36 HORAS - DIURNO (STM'!AL_2_3_B_AUX_ALIMENT_12X36_DIU</vt:lpstr>
      <vt:lpstr>'POSTO 12x36 HORAS - DIURNO ATM'!AL_2_3_B_AUX_ALIMENT_12X36_DIU</vt:lpstr>
      <vt:lpstr>'POSTO 12x36 HORAS - DIURNO ITA'!AL_2_3_B_AUX_ALIMENT_12X36_DIU</vt:lpstr>
      <vt:lpstr>'POSTO 12x36 HORAS - DIURNO MAB'!AL_2_3_B_AUX_ALIMENT_12X36_DIU</vt:lpstr>
      <vt:lpstr>'POSTO 12x36 HORAS - DIURNO PGN'!AL_2_3_B_AUX_ALIMENT_12X36_DIU</vt:lpstr>
      <vt:lpstr>'POSTO 12x36 HORAS - DIURNO RDO'!AL_2_3_B_AUX_ALIMENT_12X36_DIU</vt:lpstr>
      <vt:lpstr>'POSTO 12x36 HORAS - DIURNO TUU'!AL_2_3_B_AUX_ALIMENT_12X36_DIU</vt:lpstr>
      <vt:lpstr>AL_2_3_B_AUX_ALIMENT_12X36_DIU</vt:lpstr>
      <vt:lpstr>'POSTO 12x36 HORAS - NOTU - CAST'!AL_2_3_B_AUX_ALIMENT_12X36_NOT</vt:lpstr>
      <vt:lpstr>'POSTO 12x36 HORAS - NOTURNO ATM'!AL_2_3_B_AUX_ALIMENT_12X36_NOT</vt:lpstr>
      <vt:lpstr>'POSTO 12x36 HORAS - NOTURNO ITA'!AL_2_3_B_AUX_ALIMENT_12X36_NOT</vt:lpstr>
      <vt:lpstr>'POSTO 12x36 HORAS - NOTURNO MAB'!AL_2_3_B_AUX_ALIMENT_12X36_NOT</vt:lpstr>
      <vt:lpstr>'POSTO 12x36 HORAS - NOTURNO PGN'!AL_2_3_B_AUX_ALIMENT_12X36_NOT</vt:lpstr>
      <vt:lpstr>'POSTO 12x36 HORAS - NOTURNO RDO'!AL_2_3_B_AUX_ALIMENT_12X36_NOT</vt:lpstr>
      <vt:lpstr>'POSTO 12x36 HORAS - NOTURNO STM'!AL_2_3_B_AUX_ALIMENT_12X36_NOT</vt:lpstr>
      <vt:lpstr>'POSTO 12x36 HORAS - NOTURNO TUU'!AL_2_3_B_AUX_ALIMENT_12X36_NOT</vt:lpstr>
      <vt:lpstr>AL_2_3_B_AUX_ALIMENT_12X36_NOT</vt:lpstr>
      <vt:lpstr>'POSTO 44 HORAS (STM)'!AL_2_3_B_AUX_ALIMENT_44H</vt:lpstr>
      <vt:lpstr>'POSTO 44 HORAS ATM'!AL_2_3_B_AUX_ALIMENT_44H</vt:lpstr>
      <vt:lpstr>AL_2_3_B_AUX_ALIMENT_44H</vt:lpstr>
      <vt:lpstr>'POSTO 12x36 HORAS - DIURNO (CAS'!AL_2_3_C_OUTROS_BENEF_12X36_DIU</vt:lpstr>
      <vt:lpstr>'POSTO 12x36 HORAS - DIURNO (STM'!AL_2_3_C_OUTROS_BENEF_12X36_DIU</vt:lpstr>
      <vt:lpstr>'POSTO 12x36 HORAS - DIURNO ATM'!AL_2_3_C_OUTROS_BENEF_12X36_DIU</vt:lpstr>
      <vt:lpstr>'POSTO 12x36 HORAS - DIURNO ITA'!AL_2_3_C_OUTROS_BENEF_12X36_DIU</vt:lpstr>
      <vt:lpstr>'POSTO 12x36 HORAS - DIURNO MAB'!AL_2_3_C_OUTROS_BENEF_12X36_DIU</vt:lpstr>
      <vt:lpstr>'POSTO 12x36 HORAS - DIURNO PGN'!AL_2_3_C_OUTROS_BENEF_12X36_DIU</vt:lpstr>
      <vt:lpstr>'POSTO 12x36 HORAS - DIURNO RDO'!AL_2_3_C_OUTROS_BENEF_12X36_DIU</vt:lpstr>
      <vt:lpstr>'POSTO 12x36 HORAS - DIURNO TUU'!AL_2_3_C_OUTROS_BENEF_12X36_DIU</vt:lpstr>
      <vt:lpstr>AL_2_3_C_OUTROS_BENEF_12X36_DIU</vt:lpstr>
      <vt:lpstr>'POSTO 12x36 HORAS - NOTU - CAST'!AL_2_A_ATE_2_G_GPS_12X36_NOT</vt:lpstr>
      <vt:lpstr>'POSTO 12x36 HORAS - NOTURNO ATM'!AL_2_A_ATE_2_G_GPS_12X36_NOT</vt:lpstr>
      <vt:lpstr>'POSTO 12x36 HORAS - NOTURNO ITA'!AL_2_A_ATE_2_G_GPS_12X36_NOT</vt:lpstr>
      <vt:lpstr>'POSTO 12x36 HORAS - NOTURNO MAB'!AL_2_A_ATE_2_G_GPS_12X36_NOT</vt:lpstr>
      <vt:lpstr>'POSTO 12x36 HORAS - NOTURNO PGN'!AL_2_A_ATE_2_G_GPS_12X36_NOT</vt:lpstr>
      <vt:lpstr>'POSTO 12x36 HORAS - NOTURNO RDO'!AL_2_A_ATE_2_G_GPS_12X36_NOT</vt:lpstr>
      <vt:lpstr>'POSTO 12x36 HORAS - NOTURNO STM'!AL_2_A_ATE_2_G_GPS_12X36_NOT</vt:lpstr>
      <vt:lpstr>'POSTO 12x36 HORAS - NOTURNO TUU'!AL_2_A_ATE_2_G_GPS_12X36_NOT</vt:lpstr>
      <vt:lpstr>AL_2_A_ATE_2_G_GPS_12X36_NOT</vt:lpstr>
      <vt:lpstr>'POSTO 12x36 HORAS - DIURNO (CAS'!AL_6_A_CUSTOS_INDIRETOS_12X36_DIU</vt:lpstr>
      <vt:lpstr>'POSTO 12x36 HORAS - DIURNO (STM'!AL_6_A_CUSTOS_INDIRETOS_12X36_DIU</vt:lpstr>
      <vt:lpstr>'POSTO 12x36 HORAS - DIURNO ATM'!AL_6_A_CUSTOS_INDIRETOS_12X36_DIU</vt:lpstr>
      <vt:lpstr>'POSTO 12x36 HORAS - DIURNO ITA'!AL_6_A_CUSTOS_INDIRETOS_12X36_DIU</vt:lpstr>
      <vt:lpstr>'POSTO 12x36 HORAS - DIURNO MAB'!AL_6_A_CUSTOS_INDIRETOS_12X36_DIU</vt:lpstr>
      <vt:lpstr>'POSTO 12x36 HORAS - DIURNO PGN'!AL_6_A_CUSTOS_INDIRETOS_12X36_DIU</vt:lpstr>
      <vt:lpstr>'POSTO 12x36 HORAS - DIURNO RDO'!AL_6_A_CUSTOS_INDIRETOS_12X36_DIU</vt:lpstr>
      <vt:lpstr>'POSTO 12x36 HORAS - DIURNO TUU'!AL_6_A_CUSTOS_INDIRETOS_12X36_DIU</vt:lpstr>
      <vt:lpstr>AL_6_A_CUSTOS_INDIRETOS_12X36_DIU</vt:lpstr>
      <vt:lpstr>'POSTO 12x36 HORAS - NOTU - CAST'!AL_6_A_CUSTOS_INDIRETOS_12X36_NOT</vt:lpstr>
      <vt:lpstr>'POSTO 12x36 HORAS - NOTURNO ATM'!AL_6_A_CUSTOS_INDIRETOS_12X36_NOT</vt:lpstr>
      <vt:lpstr>'POSTO 12x36 HORAS - NOTURNO ITA'!AL_6_A_CUSTOS_INDIRETOS_12X36_NOT</vt:lpstr>
      <vt:lpstr>'POSTO 12x36 HORAS - NOTURNO MAB'!AL_6_A_CUSTOS_INDIRETOS_12X36_NOT</vt:lpstr>
      <vt:lpstr>'POSTO 12x36 HORAS - NOTURNO PGN'!AL_6_A_CUSTOS_INDIRETOS_12X36_NOT</vt:lpstr>
      <vt:lpstr>'POSTO 12x36 HORAS - NOTURNO RDO'!AL_6_A_CUSTOS_INDIRETOS_12X36_NOT</vt:lpstr>
      <vt:lpstr>'POSTO 12x36 HORAS - NOTURNO STM'!AL_6_A_CUSTOS_INDIRETOS_12X36_NOT</vt:lpstr>
      <vt:lpstr>'POSTO 12x36 HORAS - NOTURNO TUU'!AL_6_A_CUSTOS_INDIRETOS_12X36_NOT</vt:lpstr>
      <vt:lpstr>AL_6_A_CUSTOS_INDIRETOS_12X36_NOT</vt:lpstr>
      <vt:lpstr>'POSTO 44 HORAS (STM)'!AL_6_A_CUSTOS_INDIRETOS_44H</vt:lpstr>
      <vt:lpstr>'POSTO 44 HORAS ATM'!AL_6_A_CUSTOS_INDIRETOS_44H</vt:lpstr>
      <vt:lpstr>AL_6_A_CUSTOS_INDIRETOS_44H</vt:lpstr>
      <vt:lpstr>'POSTO 12x36 HORAS - DIURNO (CAS'!AL_6_B_LUCRO_12X36_DIU</vt:lpstr>
      <vt:lpstr>'POSTO 12x36 HORAS - DIURNO (STM'!AL_6_B_LUCRO_12X36_DIU</vt:lpstr>
      <vt:lpstr>'POSTO 12x36 HORAS - DIURNO ATM'!AL_6_B_LUCRO_12X36_DIU</vt:lpstr>
      <vt:lpstr>'POSTO 12x36 HORAS - DIURNO ITA'!AL_6_B_LUCRO_12X36_DIU</vt:lpstr>
      <vt:lpstr>'POSTO 12x36 HORAS - DIURNO MAB'!AL_6_B_LUCRO_12X36_DIU</vt:lpstr>
      <vt:lpstr>'POSTO 12x36 HORAS - DIURNO PGN'!AL_6_B_LUCRO_12X36_DIU</vt:lpstr>
      <vt:lpstr>'POSTO 12x36 HORAS - DIURNO RDO'!AL_6_B_LUCRO_12X36_DIU</vt:lpstr>
      <vt:lpstr>'POSTO 12x36 HORAS - DIURNO TUU'!AL_6_B_LUCRO_12X36_DIU</vt:lpstr>
      <vt:lpstr>AL_6_B_LUCRO_12X36_DIU</vt:lpstr>
      <vt:lpstr>'POSTO 12x36 HORAS - NOTU - CAST'!AL_6_B_LUCRO_12X36_NOT</vt:lpstr>
      <vt:lpstr>'POSTO 12x36 HORAS - NOTURNO ATM'!AL_6_B_LUCRO_12X36_NOT</vt:lpstr>
      <vt:lpstr>'POSTO 12x36 HORAS - NOTURNO ITA'!AL_6_B_LUCRO_12X36_NOT</vt:lpstr>
      <vt:lpstr>'POSTO 12x36 HORAS - NOTURNO MAB'!AL_6_B_LUCRO_12X36_NOT</vt:lpstr>
      <vt:lpstr>'POSTO 12x36 HORAS - NOTURNO PGN'!AL_6_B_LUCRO_12X36_NOT</vt:lpstr>
      <vt:lpstr>'POSTO 12x36 HORAS - NOTURNO RDO'!AL_6_B_LUCRO_12X36_NOT</vt:lpstr>
      <vt:lpstr>'POSTO 12x36 HORAS - NOTURNO STM'!AL_6_B_LUCRO_12X36_NOT</vt:lpstr>
      <vt:lpstr>'POSTO 12x36 HORAS - NOTURNO TUU'!AL_6_B_LUCRO_12X36_NOT</vt:lpstr>
      <vt:lpstr>AL_6_B_LUCRO_12X36_NOT</vt:lpstr>
      <vt:lpstr>'POSTO 44 HORAS (STM)'!AL_6_B_LUCRO_44H</vt:lpstr>
      <vt:lpstr>'POSTO 44 HORAS ATM'!AL_6_B_LUCRO_44H</vt:lpstr>
      <vt:lpstr>AL_6_B_LUCRO_44H</vt:lpstr>
      <vt:lpstr>'POSTO 12x36 HORAS - DIURNO (CAS'!AL_6_C_1_PIS_12X36_DIU</vt:lpstr>
      <vt:lpstr>'POSTO 12x36 HORAS - DIURNO (STM'!AL_6_C_1_PIS_12X36_DIU</vt:lpstr>
      <vt:lpstr>'POSTO 12x36 HORAS - DIURNO ATM'!AL_6_C_1_PIS_12X36_DIU</vt:lpstr>
      <vt:lpstr>'POSTO 12x36 HORAS - DIURNO ITA'!AL_6_C_1_PIS_12X36_DIU</vt:lpstr>
      <vt:lpstr>'POSTO 12x36 HORAS - DIURNO MAB'!AL_6_C_1_PIS_12X36_DIU</vt:lpstr>
      <vt:lpstr>'POSTO 12x36 HORAS - DIURNO PGN'!AL_6_C_1_PIS_12X36_DIU</vt:lpstr>
      <vt:lpstr>'POSTO 12x36 HORAS - DIURNO RDO'!AL_6_C_1_PIS_12X36_DIU</vt:lpstr>
      <vt:lpstr>'POSTO 12x36 HORAS - DIURNO TUU'!AL_6_C_1_PIS_12X36_DIU</vt:lpstr>
      <vt:lpstr>AL_6_C_1_PIS_12X36_DIU</vt:lpstr>
      <vt:lpstr>'POSTO 12x36 HORAS - NOTU - CAST'!AL_6_C_1_PIS_12X36_NOT</vt:lpstr>
      <vt:lpstr>'POSTO 12x36 HORAS - NOTURNO ATM'!AL_6_C_1_PIS_12X36_NOT</vt:lpstr>
      <vt:lpstr>'POSTO 12x36 HORAS - NOTURNO ITA'!AL_6_C_1_PIS_12X36_NOT</vt:lpstr>
      <vt:lpstr>'POSTO 12x36 HORAS - NOTURNO MAB'!AL_6_C_1_PIS_12X36_NOT</vt:lpstr>
      <vt:lpstr>'POSTO 12x36 HORAS - NOTURNO PGN'!AL_6_C_1_PIS_12X36_NOT</vt:lpstr>
      <vt:lpstr>'POSTO 12x36 HORAS - NOTURNO RDO'!AL_6_C_1_PIS_12X36_NOT</vt:lpstr>
      <vt:lpstr>'POSTO 12x36 HORAS - NOTURNO STM'!AL_6_C_1_PIS_12X36_NOT</vt:lpstr>
      <vt:lpstr>'POSTO 12x36 HORAS - NOTURNO TUU'!AL_6_C_1_PIS_12X36_NOT</vt:lpstr>
      <vt:lpstr>AL_6_C_1_PIS_12X36_NOT</vt:lpstr>
      <vt:lpstr>'POSTO 44 HORAS (STM)'!AL_6_C_1_PIS_44H</vt:lpstr>
      <vt:lpstr>'POSTO 44 HORAS ATM'!AL_6_C_1_PIS_44H</vt:lpstr>
      <vt:lpstr>AL_6_C_1_PIS_44H</vt:lpstr>
      <vt:lpstr>'POSTO 12x36 HORAS - DIURNO (CAS'!AL_6_C_2_COFINS_12X36_DIU</vt:lpstr>
      <vt:lpstr>'POSTO 12x36 HORAS - DIURNO (STM'!AL_6_C_2_COFINS_12X36_DIU</vt:lpstr>
      <vt:lpstr>'POSTO 12x36 HORAS - DIURNO ATM'!AL_6_C_2_COFINS_12X36_DIU</vt:lpstr>
      <vt:lpstr>'POSTO 12x36 HORAS - DIURNO ITA'!AL_6_C_2_COFINS_12X36_DIU</vt:lpstr>
      <vt:lpstr>'POSTO 12x36 HORAS - DIURNO MAB'!AL_6_C_2_COFINS_12X36_DIU</vt:lpstr>
      <vt:lpstr>'POSTO 12x36 HORAS - DIURNO PGN'!AL_6_C_2_COFINS_12X36_DIU</vt:lpstr>
      <vt:lpstr>'POSTO 12x36 HORAS - DIURNO RDO'!AL_6_C_2_COFINS_12X36_DIU</vt:lpstr>
      <vt:lpstr>'POSTO 12x36 HORAS - DIURNO TUU'!AL_6_C_2_COFINS_12X36_DIU</vt:lpstr>
      <vt:lpstr>AL_6_C_2_COFINS_12X36_DIU</vt:lpstr>
      <vt:lpstr>'POSTO 12x36 HORAS - NOTU - CAST'!AL_6_C_2_COFINS_12X36_NOT</vt:lpstr>
      <vt:lpstr>'POSTO 12x36 HORAS - NOTURNO ATM'!AL_6_C_2_COFINS_12X36_NOT</vt:lpstr>
      <vt:lpstr>'POSTO 12x36 HORAS - NOTURNO ITA'!AL_6_C_2_COFINS_12X36_NOT</vt:lpstr>
      <vt:lpstr>'POSTO 12x36 HORAS - NOTURNO MAB'!AL_6_C_2_COFINS_12X36_NOT</vt:lpstr>
      <vt:lpstr>'POSTO 12x36 HORAS - NOTURNO PGN'!AL_6_C_2_COFINS_12X36_NOT</vt:lpstr>
      <vt:lpstr>'POSTO 12x36 HORAS - NOTURNO RDO'!AL_6_C_2_COFINS_12X36_NOT</vt:lpstr>
      <vt:lpstr>'POSTO 12x36 HORAS - NOTURNO STM'!AL_6_C_2_COFINS_12X36_NOT</vt:lpstr>
      <vt:lpstr>'POSTO 12x36 HORAS - NOTURNO TUU'!AL_6_C_2_COFINS_12X36_NOT</vt:lpstr>
      <vt:lpstr>AL_6_C_2_COFINS_12X36_NOT</vt:lpstr>
      <vt:lpstr>'POSTO 44 HORAS (STM)'!AL_6_C_2_COFINS_44H</vt:lpstr>
      <vt:lpstr>'POSTO 44 HORAS ATM'!AL_6_C_2_COFINS_44H</vt:lpstr>
      <vt:lpstr>AL_6_C_2_COFINS_44H</vt:lpstr>
      <vt:lpstr>'POSTO 12x36 HORAS - DIURNO (CAS'!AL_6_C_3_ISS_12X36_DIU</vt:lpstr>
      <vt:lpstr>'POSTO 12x36 HORAS - DIURNO (STM'!AL_6_C_3_ISS_12X36_DIU</vt:lpstr>
      <vt:lpstr>'POSTO 12x36 HORAS - DIURNO ATM'!AL_6_C_3_ISS_12X36_DIU</vt:lpstr>
      <vt:lpstr>'POSTO 12x36 HORAS - DIURNO ITA'!AL_6_C_3_ISS_12X36_DIU</vt:lpstr>
      <vt:lpstr>'POSTO 12x36 HORAS - DIURNO MAB'!AL_6_C_3_ISS_12X36_DIU</vt:lpstr>
      <vt:lpstr>'POSTO 12x36 HORAS - DIURNO PGN'!AL_6_C_3_ISS_12X36_DIU</vt:lpstr>
      <vt:lpstr>'POSTO 12x36 HORAS - DIURNO RDO'!AL_6_C_3_ISS_12X36_DIU</vt:lpstr>
      <vt:lpstr>'POSTO 12x36 HORAS - DIURNO TUU'!AL_6_C_3_ISS_12X36_DIU</vt:lpstr>
      <vt:lpstr>AL_6_C_3_ISS_12X36_DIU</vt:lpstr>
      <vt:lpstr>'POSTO 12x36 HORAS - NOTU - CAST'!AL_6_C_3_ISS_12X36_NOT</vt:lpstr>
      <vt:lpstr>'POSTO 12x36 HORAS - NOTURNO ATM'!AL_6_C_3_ISS_12X36_NOT</vt:lpstr>
      <vt:lpstr>'POSTO 12x36 HORAS - NOTURNO ITA'!AL_6_C_3_ISS_12X36_NOT</vt:lpstr>
      <vt:lpstr>'POSTO 12x36 HORAS - NOTURNO MAB'!AL_6_C_3_ISS_12X36_NOT</vt:lpstr>
      <vt:lpstr>'POSTO 12x36 HORAS - NOTURNO PGN'!AL_6_C_3_ISS_12X36_NOT</vt:lpstr>
      <vt:lpstr>'POSTO 12x36 HORAS - NOTURNO RDO'!AL_6_C_3_ISS_12X36_NOT</vt:lpstr>
      <vt:lpstr>'POSTO 12x36 HORAS - NOTURNO STM'!AL_6_C_3_ISS_12X36_NOT</vt:lpstr>
      <vt:lpstr>'POSTO 12x36 HORAS - NOTURNO TUU'!AL_6_C_3_ISS_12X36_NOT</vt:lpstr>
      <vt:lpstr>AL_6_C_3_ISS_12X36_NOT</vt:lpstr>
      <vt:lpstr>'POSTO 44 HORAS (STM)'!AL_6_C_3_ISS_44H</vt:lpstr>
      <vt:lpstr>'POSTO 44 HORAS ATM'!AL_6_C_3_ISS_44H</vt:lpstr>
      <vt:lpstr>AL_6_C_3_ISS_44H</vt:lpstr>
      <vt:lpstr>'POSTO 12x36 HORAS - DIURNO (CAS'!AL_6_C_TRIBUTOS_12X36_DIU</vt:lpstr>
      <vt:lpstr>'POSTO 12x36 HORAS - DIURNO (STM'!AL_6_C_TRIBUTOS_12X36_DIU</vt:lpstr>
      <vt:lpstr>'POSTO 12x36 HORAS - DIURNO ATM'!AL_6_C_TRIBUTOS_12X36_DIU</vt:lpstr>
      <vt:lpstr>'POSTO 12x36 HORAS - DIURNO ITA'!AL_6_C_TRIBUTOS_12X36_DIU</vt:lpstr>
      <vt:lpstr>'POSTO 12x36 HORAS - DIURNO MAB'!AL_6_C_TRIBUTOS_12X36_DIU</vt:lpstr>
      <vt:lpstr>'POSTO 12x36 HORAS - DIURNO PGN'!AL_6_C_TRIBUTOS_12X36_DIU</vt:lpstr>
      <vt:lpstr>'POSTO 12x36 HORAS - DIURNO RDO'!AL_6_C_TRIBUTOS_12X36_DIU</vt:lpstr>
      <vt:lpstr>'POSTO 12x36 HORAS - DIURNO TUU'!AL_6_C_TRIBUTOS_12X36_DIU</vt:lpstr>
      <vt:lpstr>AL_6_C_TRIBUTOS_12X36_DIU</vt:lpstr>
      <vt:lpstr>'POSTO 12x36 HORAS - NOTU - CAST'!AL_6_C_TRIBUTOS_12X36_NOT</vt:lpstr>
      <vt:lpstr>'POSTO 12x36 HORAS - NOTURNO ATM'!AL_6_C_TRIBUTOS_12X36_NOT</vt:lpstr>
      <vt:lpstr>'POSTO 12x36 HORAS - NOTURNO ITA'!AL_6_C_TRIBUTOS_12X36_NOT</vt:lpstr>
      <vt:lpstr>'POSTO 12x36 HORAS - NOTURNO MAB'!AL_6_C_TRIBUTOS_12X36_NOT</vt:lpstr>
      <vt:lpstr>'POSTO 12x36 HORAS - NOTURNO PGN'!AL_6_C_TRIBUTOS_12X36_NOT</vt:lpstr>
      <vt:lpstr>'POSTO 12x36 HORAS - NOTURNO RDO'!AL_6_C_TRIBUTOS_12X36_NOT</vt:lpstr>
      <vt:lpstr>'POSTO 12x36 HORAS - NOTURNO STM'!AL_6_C_TRIBUTOS_12X36_NOT</vt:lpstr>
      <vt:lpstr>'POSTO 12x36 HORAS - NOTURNO TUU'!AL_6_C_TRIBUTOS_12X36_NOT</vt:lpstr>
      <vt:lpstr>AL_6_C_TRIBUTOS_12X36_NOT</vt:lpstr>
      <vt:lpstr>'POSTO 44 HORAS (STM)'!AL_6_C_TRIBUTOS_44H</vt:lpstr>
      <vt:lpstr>'POSTO 44 HORAS ATM'!AL_6_C_TRIBUTOS_44H</vt:lpstr>
      <vt:lpstr>AL_6_C_TRIBUTOS_44H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DIAS_TRABALHADOS_NO_MES_12X36</vt:lpstr>
      <vt:lpstr>DIAS_UTEIS_TRABALHADOS_NO_MES_44HORAS</vt:lpstr>
      <vt:lpstr>DIVISOR_DE_HORAS</vt:lpstr>
      <vt:lpstr>'POSTO 12x36 HORAS - DIURNO (CAS'!EMPREG_POR_POSTO_12X36_DIU</vt:lpstr>
      <vt:lpstr>'POSTO 12x36 HORAS - DIURNO (STM'!EMPREG_POR_POSTO_12X36_DIU</vt:lpstr>
      <vt:lpstr>'POSTO 12x36 HORAS - DIURNO ATM'!EMPREG_POR_POSTO_12X36_DIU</vt:lpstr>
      <vt:lpstr>'POSTO 12x36 HORAS - DIURNO ITA'!EMPREG_POR_POSTO_12X36_DIU</vt:lpstr>
      <vt:lpstr>'POSTO 12x36 HORAS - DIURNO MAB'!EMPREG_POR_POSTO_12X36_DIU</vt:lpstr>
      <vt:lpstr>'POSTO 12x36 HORAS - DIURNO PGN'!EMPREG_POR_POSTO_12X36_DIU</vt:lpstr>
      <vt:lpstr>'POSTO 12x36 HORAS - DIURNO RDO'!EMPREG_POR_POSTO_12X36_DIU</vt:lpstr>
      <vt:lpstr>'POSTO 12x36 HORAS - DIURNO TUU'!EMPREG_POR_POSTO_12X36_DIU</vt:lpstr>
      <vt:lpstr>EMPREG_POR_POSTO_12X36_DIU</vt:lpstr>
      <vt:lpstr>'POSTO 12x36 HORAS - NOTU - CAST'!EMPREG_POR_POSTO_12X36_NOT</vt:lpstr>
      <vt:lpstr>'POSTO 12x36 HORAS - NOTURNO ATM'!EMPREG_POR_POSTO_12X36_NOT</vt:lpstr>
      <vt:lpstr>'POSTO 12x36 HORAS - NOTURNO ITA'!EMPREG_POR_POSTO_12X36_NOT</vt:lpstr>
      <vt:lpstr>'POSTO 12x36 HORAS - NOTURNO MAB'!EMPREG_POR_POSTO_12X36_NOT</vt:lpstr>
      <vt:lpstr>'POSTO 12x36 HORAS - NOTURNO PGN'!EMPREG_POR_POSTO_12X36_NOT</vt:lpstr>
      <vt:lpstr>'POSTO 12x36 HORAS - NOTURNO RDO'!EMPREG_POR_POSTO_12X36_NOT</vt:lpstr>
      <vt:lpstr>'POSTO 12x36 HORAS - NOTURNO STM'!EMPREG_POR_POSTO_12X36_NOT</vt:lpstr>
      <vt:lpstr>'POSTO 12x36 HORAS - NOTURNO TUU'!EMPREG_POR_POSTO_12X36_NOT</vt:lpstr>
      <vt:lpstr>EMPREG_POR_POSTO_12X36_NOT</vt:lpstr>
      <vt:lpstr>'POSTO 44 HORAS (STM)'!EMPREG_POR_POSTO_44H</vt:lpstr>
      <vt:lpstr>'POSTO 44 HORAS ATM'!EMPREG_POR_POSTO_44H</vt:lpstr>
      <vt:lpstr>EMPREG_POR_POSTO_44H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- DIURNO (CAS'!MOD_1_REMUNERACAO_12X36_DIU</vt:lpstr>
      <vt:lpstr>'POSTO 12x36 HORAS - DIURNO (STM'!MOD_1_REMUNERACAO_12X36_DIU</vt:lpstr>
      <vt:lpstr>'POSTO 12x36 HORAS - DIURNO ATM'!MOD_1_REMUNERACAO_12X36_DIU</vt:lpstr>
      <vt:lpstr>'POSTO 12x36 HORAS - DIURNO ITA'!MOD_1_REMUNERACAO_12X36_DIU</vt:lpstr>
      <vt:lpstr>'POSTO 12x36 HORAS - DIURNO MAB'!MOD_1_REMUNERACAO_12X36_DIU</vt:lpstr>
      <vt:lpstr>'POSTO 12x36 HORAS - DIURNO PGN'!MOD_1_REMUNERACAO_12X36_DIU</vt:lpstr>
      <vt:lpstr>'POSTO 12x36 HORAS - DIURNO RDO'!MOD_1_REMUNERACAO_12X36_DIU</vt:lpstr>
      <vt:lpstr>'POSTO 12x36 HORAS - DIURNO TUU'!MOD_1_REMUNERACAO_12X36_DIU</vt:lpstr>
      <vt:lpstr>MOD_1_REMUNERACAO_12X36_DIU</vt:lpstr>
      <vt:lpstr>'POSTO 12x36 HORAS - NOTU - CAST'!MOD_1_REMUNERACAO_12X36_NOT</vt:lpstr>
      <vt:lpstr>'POSTO 12x36 HORAS - NOTURNO ATM'!MOD_1_REMUNERACAO_12X36_NOT</vt:lpstr>
      <vt:lpstr>'POSTO 12x36 HORAS - NOTURNO ITA'!MOD_1_REMUNERACAO_12X36_NOT</vt:lpstr>
      <vt:lpstr>'POSTO 12x36 HORAS - NOTURNO MAB'!MOD_1_REMUNERACAO_12X36_NOT</vt:lpstr>
      <vt:lpstr>'POSTO 12x36 HORAS - NOTURNO PGN'!MOD_1_REMUNERACAO_12X36_NOT</vt:lpstr>
      <vt:lpstr>'POSTO 12x36 HORAS - NOTURNO RDO'!MOD_1_REMUNERACAO_12X36_NOT</vt:lpstr>
      <vt:lpstr>'POSTO 12x36 HORAS - NOTURNO STM'!MOD_1_REMUNERACAO_12X36_NOT</vt:lpstr>
      <vt:lpstr>'POSTO 12x36 HORAS - NOTURNO TUU'!MOD_1_REMUNERACAO_12X36_NOT</vt:lpstr>
      <vt:lpstr>MOD_1_REMUNERACAO_12X36_NOT</vt:lpstr>
      <vt:lpstr>'POSTO 44 HORAS (STM)'!MOD_1_REMUNERACAO_44H</vt:lpstr>
      <vt:lpstr>'POSTO 44 HORAS ATM'!MOD_1_REMUNERACAO_44H</vt:lpstr>
      <vt:lpstr>MOD_1_REMUNERACAO_44H</vt:lpstr>
      <vt:lpstr>'POSTO 12x36 HORAS - DIURNO (CAS'!MOD_3_PROVISAO_RESCISAO_12X36_DIU</vt:lpstr>
      <vt:lpstr>'POSTO 12x36 HORAS - DIURNO (STM'!MOD_3_PROVISAO_RESCISAO_12X36_DIU</vt:lpstr>
      <vt:lpstr>'POSTO 12x36 HORAS - DIURNO ATM'!MOD_3_PROVISAO_RESCISAO_12X36_DIU</vt:lpstr>
      <vt:lpstr>'POSTO 12x36 HORAS - DIURNO ITA'!MOD_3_PROVISAO_RESCISAO_12X36_DIU</vt:lpstr>
      <vt:lpstr>'POSTO 12x36 HORAS - DIURNO MAB'!MOD_3_PROVISAO_RESCISAO_12X36_DIU</vt:lpstr>
      <vt:lpstr>'POSTO 12x36 HORAS - DIURNO PGN'!MOD_3_PROVISAO_RESCISAO_12X36_DIU</vt:lpstr>
      <vt:lpstr>'POSTO 12x36 HORAS - DIURNO RDO'!MOD_3_PROVISAO_RESCISAO_12X36_DIU</vt:lpstr>
      <vt:lpstr>'POSTO 12x36 HORAS - DIURNO TUU'!MOD_3_PROVISAO_RESCISAO_12X36_DIU</vt:lpstr>
      <vt:lpstr>MOD_3_PROVISAO_RESCISAO_12X36_DIU</vt:lpstr>
      <vt:lpstr>'POSTO 12x36 HORAS - NOTU - CAST'!MOD_3_PROVISAO_RESCISAO_12X36_NOT</vt:lpstr>
      <vt:lpstr>'POSTO 12x36 HORAS - NOTURNO ATM'!MOD_3_PROVISAO_RESCISAO_12X36_NOT</vt:lpstr>
      <vt:lpstr>'POSTO 12x36 HORAS - NOTURNO ITA'!MOD_3_PROVISAO_RESCISAO_12X36_NOT</vt:lpstr>
      <vt:lpstr>'POSTO 12x36 HORAS - NOTURNO MAB'!MOD_3_PROVISAO_RESCISAO_12X36_NOT</vt:lpstr>
      <vt:lpstr>'POSTO 12x36 HORAS - NOTURNO PGN'!MOD_3_PROVISAO_RESCISAO_12X36_NOT</vt:lpstr>
      <vt:lpstr>'POSTO 12x36 HORAS - NOTURNO RDO'!MOD_3_PROVISAO_RESCISAO_12X36_NOT</vt:lpstr>
      <vt:lpstr>'POSTO 12x36 HORAS - NOTURNO STM'!MOD_3_PROVISAO_RESCISAO_12X36_NOT</vt:lpstr>
      <vt:lpstr>'POSTO 12x36 HORAS - NOTURNO TUU'!MOD_3_PROVISAO_RESCISAO_12X36_NOT</vt:lpstr>
      <vt:lpstr>MOD_3_PROVISAO_RESCISAO_12X36_NOT</vt:lpstr>
      <vt:lpstr>'POSTO 44 HORAS (STM)'!MOD_3_PROVISAO_RESCISAO_44H</vt:lpstr>
      <vt:lpstr>'POSTO 44 HORAS ATM'!MOD_3_PROVISAO_RESCISAO_44H</vt:lpstr>
      <vt:lpstr>MOD_3_PROVISAO_RESCISAO_44H</vt:lpstr>
      <vt:lpstr>'POSTO 12x36 HORAS - DIURNO (CAS'!MOD_5_INSUMOS_12X36_DIU</vt:lpstr>
      <vt:lpstr>'POSTO 12x36 HORAS - DIURNO (STM'!MOD_5_INSUMOS_12X36_DIU</vt:lpstr>
      <vt:lpstr>'POSTO 12x36 HORAS - DIURNO ATM'!MOD_5_INSUMOS_12X36_DIU</vt:lpstr>
      <vt:lpstr>'POSTO 12x36 HORAS - DIURNO ITA'!MOD_5_INSUMOS_12X36_DIU</vt:lpstr>
      <vt:lpstr>'POSTO 12x36 HORAS - DIURNO MAB'!MOD_5_INSUMOS_12X36_DIU</vt:lpstr>
      <vt:lpstr>'POSTO 12x36 HORAS - DIURNO PGN'!MOD_5_INSUMOS_12X36_DIU</vt:lpstr>
      <vt:lpstr>'POSTO 12x36 HORAS - DIURNO RDO'!MOD_5_INSUMOS_12X36_DIU</vt:lpstr>
      <vt:lpstr>'POSTO 12x36 HORAS - DIURNO TUU'!MOD_5_INSUMOS_12X36_DIU</vt:lpstr>
      <vt:lpstr>MOD_5_INSUMOS_12X36_DIU</vt:lpstr>
      <vt:lpstr>'POSTO 12x36 HORAS - NOTU - CAST'!MOD_5_INSUMOS_12X36_NOT</vt:lpstr>
      <vt:lpstr>'POSTO 12x36 HORAS - NOTURNO ATM'!MOD_5_INSUMOS_12X36_NOT</vt:lpstr>
      <vt:lpstr>'POSTO 12x36 HORAS - NOTURNO ITA'!MOD_5_INSUMOS_12X36_NOT</vt:lpstr>
      <vt:lpstr>'POSTO 12x36 HORAS - NOTURNO MAB'!MOD_5_INSUMOS_12X36_NOT</vt:lpstr>
      <vt:lpstr>'POSTO 12x36 HORAS - NOTURNO PGN'!MOD_5_INSUMOS_12X36_NOT</vt:lpstr>
      <vt:lpstr>'POSTO 12x36 HORAS - NOTURNO RDO'!MOD_5_INSUMOS_12X36_NOT</vt:lpstr>
      <vt:lpstr>'POSTO 12x36 HORAS - NOTURNO STM'!MOD_5_INSUMOS_12X36_NOT</vt:lpstr>
      <vt:lpstr>'POSTO 12x36 HORAS - NOTURNO TUU'!MOD_5_INSUMOS_12X36_NOT</vt:lpstr>
      <vt:lpstr>MOD_5_INSUMOS_12X36_NOT</vt:lpstr>
      <vt:lpstr>'POSTO 44 HORAS (STM)'!MOD_5_INSUMOS_44H</vt:lpstr>
      <vt:lpstr>'POSTO 44 HORAS ATM'!MOD_5_INSUMOS_44H</vt:lpstr>
      <vt:lpstr>MOD_5_INSUMOS_44H</vt:lpstr>
      <vt:lpstr>'POSTO 12x36 HORAS - DIURNO (CAS'!MOD_6_CUSTOS_IND_LUCRO_TRIB_12X36_DIU</vt:lpstr>
      <vt:lpstr>'POSTO 12x36 HORAS - DIURNO (STM'!MOD_6_CUSTOS_IND_LUCRO_TRIB_12X36_DIU</vt:lpstr>
      <vt:lpstr>'POSTO 12x36 HORAS - DIURNO ATM'!MOD_6_CUSTOS_IND_LUCRO_TRIB_12X36_DIU</vt:lpstr>
      <vt:lpstr>'POSTO 12x36 HORAS - DIURNO ITA'!MOD_6_CUSTOS_IND_LUCRO_TRIB_12X36_DIU</vt:lpstr>
      <vt:lpstr>'POSTO 12x36 HORAS - DIURNO MAB'!MOD_6_CUSTOS_IND_LUCRO_TRIB_12X36_DIU</vt:lpstr>
      <vt:lpstr>'POSTO 12x36 HORAS - DIURNO PGN'!MOD_6_CUSTOS_IND_LUCRO_TRIB_12X36_DIU</vt:lpstr>
      <vt:lpstr>'POSTO 12x36 HORAS - DIURNO RDO'!MOD_6_CUSTOS_IND_LUCRO_TRIB_12X36_DIU</vt:lpstr>
      <vt:lpstr>'POSTO 12x36 HORAS - DIURNO TUU'!MOD_6_CUSTOS_IND_LUCRO_TRIB_12X36_DIU</vt:lpstr>
      <vt:lpstr>MOD_6_CUSTOS_IND_LUCRO_TRIB_12X36_DIU</vt:lpstr>
      <vt:lpstr>'POSTO 12x36 HORAS - NOTU - CAST'!MOD_6_CUSTOS_IND_LUCRO_TRIB_12X36_NOT</vt:lpstr>
      <vt:lpstr>'POSTO 12x36 HORAS - NOTURNO ATM'!MOD_6_CUSTOS_IND_LUCRO_TRIB_12X36_NOT</vt:lpstr>
      <vt:lpstr>'POSTO 12x36 HORAS - NOTURNO ITA'!MOD_6_CUSTOS_IND_LUCRO_TRIB_12X36_NOT</vt:lpstr>
      <vt:lpstr>'POSTO 12x36 HORAS - NOTURNO MAB'!MOD_6_CUSTOS_IND_LUCRO_TRIB_12X36_NOT</vt:lpstr>
      <vt:lpstr>'POSTO 12x36 HORAS - NOTURNO PGN'!MOD_6_CUSTOS_IND_LUCRO_TRIB_12X36_NOT</vt:lpstr>
      <vt:lpstr>'POSTO 12x36 HORAS - NOTURNO RDO'!MOD_6_CUSTOS_IND_LUCRO_TRIB_12X36_NOT</vt:lpstr>
      <vt:lpstr>'POSTO 12x36 HORAS - NOTURNO STM'!MOD_6_CUSTOS_IND_LUCRO_TRIB_12X36_NOT</vt:lpstr>
      <vt:lpstr>'POSTO 12x36 HORAS - NOTURNO TUU'!MOD_6_CUSTOS_IND_LUCRO_TRIB_12X36_NOT</vt:lpstr>
      <vt:lpstr>MOD_6_CUSTOS_IND_LUCRO_TRIB_12X36_NOT</vt:lpstr>
      <vt:lpstr>'POSTO 44 HORAS (STM)'!MOD_6_CUSTOS_IND_LUCRO_TRIB_44H</vt:lpstr>
      <vt:lpstr>'POSTO 44 HORAS ATM'!MOD_6_CUSTOS_IND_LUCRO_TRIB_44H</vt:lpstr>
      <vt:lpstr>MOD_6_CUSTOS_IND_LUCRO_TRIB_44H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PERC_ADIC_FERIAS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PERC_HORA_EXTRA</vt:lpstr>
      <vt:lpstr>PERC_INCRA</vt:lpstr>
      <vt:lpstr>PERC_INSS</vt:lpstr>
      <vt:lpstr>PERC_ISS</vt:lpstr>
      <vt:lpstr>PERC_LUCRO</vt:lpstr>
      <vt:lpstr>'POSTO 12x36 HORAS - NOTU - CAST'!PERC_MOD_3_PROVISAO_RESCISAO</vt:lpstr>
      <vt:lpstr>'POSTO 12x36 HORAS - NOTURNO ATM'!PERC_MOD_3_PROVISAO_RESCISAO</vt:lpstr>
      <vt:lpstr>'POSTO 12x36 HORAS - NOTURNO ITA'!PERC_MOD_3_PROVISAO_RESCISAO</vt:lpstr>
      <vt:lpstr>'POSTO 12x36 HORAS - NOTURNO MAB'!PERC_MOD_3_PROVISAO_RESCISAO</vt:lpstr>
      <vt:lpstr>'POSTO 12x36 HORAS - NOTURNO PGN'!PERC_MOD_3_PROVISAO_RESCISAO</vt:lpstr>
      <vt:lpstr>'POSTO 12x36 HORAS - NOTURNO RDO'!PERC_MOD_3_PROVISAO_RESCISAO</vt:lpstr>
      <vt:lpstr>'POSTO 12x36 HORAS - NOTURNO STM'!PERC_MOD_3_PROVISAO_RESCISAO</vt:lpstr>
      <vt:lpstr>'POSTO 12x36 HORAS - NOTURNO TUU'!PERC_MOD_3_PROVISAO_RESCISAO</vt:lpstr>
      <vt:lpstr>PERC_MOD_3_PROVISAO_RESCISAO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- NOTU - CAST'!PERC_TRIBUTOS</vt:lpstr>
      <vt:lpstr>'POSTO 12x36 HORAS - NOTURNO ATM'!PERC_TRIBUTOS</vt:lpstr>
      <vt:lpstr>'POSTO 12x36 HORAS - NOTURNO ITA'!PERC_TRIBUTOS</vt:lpstr>
      <vt:lpstr>'POSTO 12x36 HORAS - NOTURNO MAB'!PERC_TRIBUTOS</vt:lpstr>
      <vt:lpstr>'POSTO 12x36 HORAS - NOTURNO PGN'!PERC_TRIBUTOS</vt:lpstr>
      <vt:lpstr>'POSTO 12x36 HORAS - NOTURNO RDO'!PERC_TRIBUTOS</vt:lpstr>
      <vt:lpstr>'POSTO 12x36 HORAS - NOTURNO STM'!PERC_TRIBUTOS</vt:lpstr>
      <vt:lpstr>'POSTO 12x36 HORAS - NOTURNO TUU'!PERC_TRIBUTOS</vt:lpstr>
      <vt:lpstr>PERC_TRIBUTOS</vt:lpstr>
      <vt:lpstr>POSTO_12X36_DIU</vt:lpstr>
      <vt:lpstr>POSTO_12X36_NOT</vt:lpstr>
      <vt:lpstr>POSTO_44H</vt:lpstr>
      <vt:lpstr>QTDE_DE_POSTOS_12X36_DIU</vt:lpstr>
      <vt:lpstr>QTDE_DE_POSTOS_12X36_NOT</vt:lpstr>
      <vt:lpstr>QTDE_DE_POSTOS_44H</vt:lpstr>
      <vt:lpstr>RAMO</vt:lpstr>
      <vt:lpstr>SALARIO_BASE</vt:lpstr>
      <vt:lpstr>'POSTO 12x36 HORAS - DIURNO (CAS'!SUBMOD_2_1_DEC_TERC_ADIC_FERIAS_12X36_DIU</vt:lpstr>
      <vt:lpstr>'POSTO 12x36 HORAS - DIURNO (STM'!SUBMOD_2_1_DEC_TERC_ADIC_FERIAS_12X36_DIU</vt:lpstr>
      <vt:lpstr>'POSTO 12x36 HORAS - DIURNO ATM'!SUBMOD_2_1_DEC_TERC_ADIC_FERIAS_12X36_DIU</vt:lpstr>
      <vt:lpstr>'POSTO 12x36 HORAS - DIURNO ITA'!SUBMOD_2_1_DEC_TERC_ADIC_FERIAS_12X36_DIU</vt:lpstr>
      <vt:lpstr>'POSTO 12x36 HORAS - DIURNO MAB'!SUBMOD_2_1_DEC_TERC_ADIC_FERIAS_12X36_DIU</vt:lpstr>
      <vt:lpstr>'POSTO 12x36 HORAS - DIURNO PGN'!SUBMOD_2_1_DEC_TERC_ADIC_FERIAS_12X36_DIU</vt:lpstr>
      <vt:lpstr>'POSTO 12x36 HORAS - DIURNO RDO'!SUBMOD_2_1_DEC_TERC_ADIC_FERIAS_12X36_DIU</vt:lpstr>
      <vt:lpstr>'POSTO 12x36 HORAS - DIURNO TUU'!SUBMOD_2_1_DEC_TERC_ADIC_FERIAS_12X36_DIU</vt:lpstr>
      <vt:lpstr>SUBMOD_2_1_DEC_TERC_ADIC_FERIAS_12X36_DIU</vt:lpstr>
      <vt:lpstr>'POSTO 12x36 HORAS - NOTU - CAST'!SUBMOD_2_1_DEC_TERC_ADIC_FERIAS_12X36_NOT</vt:lpstr>
      <vt:lpstr>'POSTO 12x36 HORAS - NOTURNO ATM'!SUBMOD_2_1_DEC_TERC_ADIC_FERIAS_12X36_NOT</vt:lpstr>
      <vt:lpstr>'POSTO 12x36 HORAS - NOTURNO ITA'!SUBMOD_2_1_DEC_TERC_ADIC_FERIAS_12X36_NOT</vt:lpstr>
      <vt:lpstr>'POSTO 12x36 HORAS - NOTURNO MAB'!SUBMOD_2_1_DEC_TERC_ADIC_FERIAS_12X36_NOT</vt:lpstr>
      <vt:lpstr>'POSTO 12x36 HORAS - NOTURNO PGN'!SUBMOD_2_1_DEC_TERC_ADIC_FERIAS_12X36_NOT</vt:lpstr>
      <vt:lpstr>'POSTO 12x36 HORAS - NOTURNO RDO'!SUBMOD_2_1_DEC_TERC_ADIC_FERIAS_12X36_NOT</vt:lpstr>
      <vt:lpstr>'POSTO 12x36 HORAS - NOTURNO STM'!SUBMOD_2_1_DEC_TERC_ADIC_FERIAS_12X36_NOT</vt:lpstr>
      <vt:lpstr>'POSTO 12x36 HORAS - NOTURNO TUU'!SUBMOD_2_1_DEC_TERC_ADIC_FERIAS_12X36_NOT</vt:lpstr>
      <vt:lpstr>SUBMOD_2_1_DEC_TERC_ADIC_FERIAS_12X36_NOT</vt:lpstr>
      <vt:lpstr>'POSTO 44 HORAS (STM)'!SUBMOD_2_1_DEC_TERC_ADIC_FERIAS_44H</vt:lpstr>
      <vt:lpstr>'POSTO 44 HORAS ATM'!SUBMOD_2_1_DEC_TERC_ADIC_FERIAS_44H</vt:lpstr>
      <vt:lpstr>SUBMOD_2_1_DEC_TERC_ADIC_FERIAS_44H</vt:lpstr>
      <vt:lpstr>'POSTO 12x36 HORAS - DIURNO (CAS'!SUBMOD_2_2_GPS_FGTS_12X36_DIU</vt:lpstr>
      <vt:lpstr>'POSTO 12x36 HORAS - DIURNO (STM'!SUBMOD_2_2_GPS_FGTS_12X36_DIU</vt:lpstr>
      <vt:lpstr>'POSTO 12x36 HORAS - DIURNO ATM'!SUBMOD_2_2_GPS_FGTS_12X36_DIU</vt:lpstr>
      <vt:lpstr>'POSTO 12x36 HORAS - DIURNO ITA'!SUBMOD_2_2_GPS_FGTS_12X36_DIU</vt:lpstr>
      <vt:lpstr>'POSTO 12x36 HORAS - DIURNO MAB'!SUBMOD_2_2_GPS_FGTS_12X36_DIU</vt:lpstr>
      <vt:lpstr>'POSTO 12x36 HORAS - DIURNO PGN'!SUBMOD_2_2_GPS_FGTS_12X36_DIU</vt:lpstr>
      <vt:lpstr>'POSTO 12x36 HORAS - DIURNO RDO'!SUBMOD_2_2_GPS_FGTS_12X36_DIU</vt:lpstr>
      <vt:lpstr>'POSTO 12x36 HORAS - DIURNO TUU'!SUBMOD_2_2_GPS_FGTS_12X36_DIU</vt:lpstr>
      <vt:lpstr>SUBMOD_2_2_GPS_FGTS_12X36_DIU</vt:lpstr>
      <vt:lpstr>'POSTO 12x36 HORAS - NOTU - CAST'!SUBMOD_2_2_GPS_FGTS_12X36_NOT</vt:lpstr>
      <vt:lpstr>'POSTO 12x36 HORAS - NOTURNO ATM'!SUBMOD_2_2_GPS_FGTS_12X36_NOT</vt:lpstr>
      <vt:lpstr>'POSTO 12x36 HORAS - NOTURNO ITA'!SUBMOD_2_2_GPS_FGTS_12X36_NOT</vt:lpstr>
      <vt:lpstr>'POSTO 12x36 HORAS - NOTURNO MAB'!SUBMOD_2_2_GPS_FGTS_12X36_NOT</vt:lpstr>
      <vt:lpstr>'POSTO 12x36 HORAS - NOTURNO PGN'!SUBMOD_2_2_GPS_FGTS_12X36_NOT</vt:lpstr>
      <vt:lpstr>'POSTO 12x36 HORAS - NOTURNO RDO'!SUBMOD_2_2_GPS_FGTS_12X36_NOT</vt:lpstr>
      <vt:lpstr>'POSTO 12x36 HORAS - NOTURNO STM'!SUBMOD_2_2_GPS_FGTS_12X36_NOT</vt:lpstr>
      <vt:lpstr>'POSTO 12x36 HORAS - NOTURNO TUU'!SUBMOD_2_2_GPS_FGTS_12X36_NOT</vt:lpstr>
      <vt:lpstr>SUBMOD_2_2_GPS_FGTS_12X36_NOT</vt:lpstr>
      <vt:lpstr>'POSTO 44 HORAS (STM)'!SUBMOD_2_2_GPS_FGTS_44H</vt:lpstr>
      <vt:lpstr>'POSTO 44 HORAS ATM'!SUBMOD_2_2_GPS_FGTS_44H</vt:lpstr>
      <vt:lpstr>SUBMOD_2_2_GPS_FGTS_44H</vt:lpstr>
      <vt:lpstr>'POSTO 12x36 HORAS - DIURNO (CAS'!SUBMOD_2_3_BENEFICIOS_12X36_DIU</vt:lpstr>
      <vt:lpstr>'POSTO 12x36 HORAS - DIURNO (STM'!SUBMOD_2_3_BENEFICIOS_12X36_DIU</vt:lpstr>
      <vt:lpstr>'POSTO 12x36 HORAS - DIURNO ATM'!SUBMOD_2_3_BENEFICIOS_12X36_DIU</vt:lpstr>
      <vt:lpstr>'POSTO 12x36 HORAS - DIURNO ITA'!SUBMOD_2_3_BENEFICIOS_12X36_DIU</vt:lpstr>
      <vt:lpstr>'POSTO 12x36 HORAS - DIURNO MAB'!SUBMOD_2_3_BENEFICIOS_12X36_DIU</vt:lpstr>
      <vt:lpstr>'POSTO 12x36 HORAS - DIURNO PGN'!SUBMOD_2_3_BENEFICIOS_12X36_DIU</vt:lpstr>
      <vt:lpstr>'POSTO 12x36 HORAS - DIURNO RDO'!SUBMOD_2_3_BENEFICIOS_12X36_DIU</vt:lpstr>
      <vt:lpstr>'POSTO 12x36 HORAS - DIURNO TUU'!SUBMOD_2_3_BENEFICIOS_12X36_DIU</vt:lpstr>
      <vt:lpstr>SUBMOD_2_3_BENEFICIOS_12X36_DIU</vt:lpstr>
      <vt:lpstr>'POSTO 12x36 HORAS - NOTU - CAST'!SUBMOD_2_3_BENEFICIOS_12X36_NOT</vt:lpstr>
      <vt:lpstr>'POSTO 12x36 HORAS - NOTURNO ATM'!SUBMOD_2_3_BENEFICIOS_12X36_NOT</vt:lpstr>
      <vt:lpstr>'POSTO 12x36 HORAS - NOTURNO ITA'!SUBMOD_2_3_BENEFICIOS_12X36_NOT</vt:lpstr>
      <vt:lpstr>'POSTO 12x36 HORAS - NOTURNO MAB'!SUBMOD_2_3_BENEFICIOS_12X36_NOT</vt:lpstr>
      <vt:lpstr>'POSTO 12x36 HORAS - NOTURNO PGN'!SUBMOD_2_3_BENEFICIOS_12X36_NOT</vt:lpstr>
      <vt:lpstr>'POSTO 12x36 HORAS - NOTURNO RDO'!SUBMOD_2_3_BENEFICIOS_12X36_NOT</vt:lpstr>
      <vt:lpstr>'POSTO 12x36 HORAS - NOTURNO STM'!SUBMOD_2_3_BENEFICIOS_12X36_NOT</vt:lpstr>
      <vt:lpstr>'POSTO 12x36 HORAS - NOTURNO TUU'!SUBMOD_2_3_BENEFICIOS_12X36_NOT</vt:lpstr>
      <vt:lpstr>SUBMOD_2_3_BENEFICIOS_12X36_NOT</vt:lpstr>
      <vt:lpstr>'POSTO 44 HORAS (STM)'!SUBMOD_2_3_BENEFICIOS_44H</vt:lpstr>
      <vt:lpstr>'POSTO 44 HORAS ATM'!SUBMOD_2_3_BENEFICIOS_44H</vt:lpstr>
      <vt:lpstr>SUBMOD_2_3_BENEFICIOS_44H</vt:lpstr>
      <vt:lpstr>'POSTO 44 HORAS (STM)'!SUBMOD_4_1_AUSENCIAS_LEGAIS_44H</vt:lpstr>
      <vt:lpstr>'POSTO 44 HORAS ATM'!SUBMOD_4_1_AUSENCIAS_LEGAIS_44H</vt:lpstr>
      <vt:lpstr>SUBMOD_4_1_AUSENCIAS_LEGAIS_44H</vt:lpstr>
      <vt:lpstr>'POSTO 12x36 HORAS - DIURNO (CAS'!SUBMOD_4_1_SUBSTITUTO_12X36_DIU</vt:lpstr>
      <vt:lpstr>'POSTO 12x36 HORAS - DIURNO (STM'!SUBMOD_4_1_SUBSTITUTO_12X36_DIU</vt:lpstr>
      <vt:lpstr>'POSTO 12x36 HORAS - DIURNO ATM'!SUBMOD_4_1_SUBSTITUTO_12X36_DIU</vt:lpstr>
      <vt:lpstr>'POSTO 12x36 HORAS - DIURNO ITA'!SUBMOD_4_1_SUBSTITUTO_12X36_DIU</vt:lpstr>
      <vt:lpstr>'POSTO 12x36 HORAS - DIURNO MAB'!SUBMOD_4_1_SUBSTITUTO_12X36_DIU</vt:lpstr>
      <vt:lpstr>'POSTO 12x36 HORAS - DIURNO PGN'!SUBMOD_4_1_SUBSTITUTO_12X36_DIU</vt:lpstr>
      <vt:lpstr>'POSTO 12x36 HORAS - DIURNO RDO'!SUBMOD_4_1_SUBSTITUTO_12X36_DIU</vt:lpstr>
      <vt:lpstr>'POSTO 12x36 HORAS - DIURNO TUU'!SUBMOD_4_1_SUBSTITUTO_12X36_DIU</vt:lpstr>
      <vt:lpstr>SUBMOD_4_1_SUBSTITUTO_12X36_DIU</vt:lpstr>
      <vt:lpstr>'POSTO 12x36 HORAS - NOTU - CAST'!SUBMOD_4_1_SUBSTITUTO_12X36_NOT</vt:lpstr>
      <vt:lpstr>'POSTO 12x36 HORAS - NOTURNO ATM'!SUBMOD_4_1_SUBSTITUTO_12X36_NOT</vt:lpstr>
      <vt:lpstr>'POSTO 12x36 HORAS - NOTURNO ITA'!SUBMOD_4_1_SUBSTITUTO_12X36_NOT</vt:lpstr>
      <vt:lpstr>'POSTO 12x36 HORAS - NOTURNO MAB'!SUBMOD_4_1_SUBSTITUTO_12X36_NOT</vt:lpstr>
      <vt:lpstr>'POSTO 12x36 HORAS - NOTURNO PGN'!SUBMOD_4_1_SUBSTITUTO_12X36_NOT</vt:lpstr>
      <vt:lpstr>'POSTO 12x36 HORAS - NOTURNO RDO'!SUBMOD_4_1_SUBSTITUTO_12X36_NOT</vt:lpstr>
      <vt:lpstr>'POSTO 12x36 HORAS - NOTURNO STM'!SUBMOD_4_1_SUBSTITUTO_12X36_NOT</vt:lpstr>
      <vt:lpstr>'POSTO 12x36 HORAS - NOTURNO TUU'!SUBMOD_4_1_SUBSTITUTO_12X36_NOT</vt:lpstr>
      <vt:lpstr>SUBMOD_4_1_SUBSTITUTO_12X36_NOT</vt:lpstr>
      <vt:lpstr>'POSTO 44 HORAS (STM)'!SUBMOD_4_1_SUBSTITUTO_44H</vt:lpstr>
      <vt:lpstr>'POSTO 44 HORAS ATM'!SUBMOD_4_1_SUBSTITUTO_44H</vt:lpstr>
      <vt:lpstr>SUBMOD_4_1_SUBSTITUTO_44H</vt:lpstr>
      <vt:lpstr>'POSTO 12x36 HORAS - DIURNO (CAS'!SUBMOD_4_2_INTRAJORNADA_12X36_DIU</vt:lpstr>
      <vt:lpstr>'POSTO 12x36 HORAS - DIURNO (STM'!SUBMOD_4_2_INTRAJORNADA_12X36_DIU</vt:lpstr>
      <vt:lpstr>'POSTO 12x36 HORAS - DIURNO ATM'!SUBMOD_4_2_INTRAJORNADA_12X36_DIU</vt:lpstr>
      <vt:lpstr>'POSTO 12x36 HORAS - DIURNO ITA'!SUBMOD_4_2_INTRAJORNADA_12X36_DIU</vt:lpstr>
      <vt:lpstr>'POSTO 12x36 HORAS - DIURNO MAB'!SUBMOD_4_2_INTRAJORNADA_12X36_DIU</vt:lpstr>
      <vt:lpstr>'POSTO 12x36 HORAS - DIURNO PGN'!SUBMOD_4_2_INTRAJORNADA_12X36_DIU</vt:lpstr>
      <vt:lpstr>'POSTO 12x36 HORAS - DIURNO RDO'!SUBMOD_4_2_INTRAJORNADA_12X36_DIU</vt:lpstr>
      <vt:lpstr>'POSTO 12x36 HORAS - DIURNO TUU'!SUBMOD_4_2_INTRAJORNADA_12X36_DIU</vt:lpstr>
      <vt:lpstr>SUBMOD_4_2_INTRAJORNADA_12X36_DIU</vt:lpstr>
      <vt:lpstr>'POSTO 12x36 HORAS - NOTU - CAST'!SUBMOD_4_2_INTRAJORNADA_12X36_NOT</vt:lpstr>
      <vt:lpstr>'POSTO 12x36 HORAS - NOTURNO ATM'!SUBMOD_4_2_INTRAJORNADA_12X36_NOT</vt:lpstr>
      <vt:lpstr>'POSTO 12x36 HORAS - NOTURNO ITA'!SUBMOD_4_2_INTRAJORNADA_12X36_NOT</vt:lpstr>
      <vt:lpstr>'POSTO 12x36 HORAS - NOTURNO MAB'!SUBMOD_4_2_INTRAJORNADA_12X36_NOT</vt:lpstr>
      <vt:lpstr>'POSTO 12x36 HORAS - NOTURNO PGN'!SUBMOD_4_2_INTRAJORNADA_12X36_NOT</vt:lpstr>
      <vt:lpstr>'POSTO 12x36 HORAS - NOTURNO RDO'!SUBMOD_4_2_INTRAJORNADA_12X36_NOT</vt:lpstr>
      <vt:lpstr>'POSTO 12x36 HORAS - NOTURNO STM'!SUBMOD_4_2_INTRAJORNADA_12X36_NOT</vt:lpstr>
      <vt:lpstr>'POSTO 12x36 HORAS - NOTURNO TUU'!SUBMOD_4_2_INTRAJORNADA_12X36_NOT</vt:lpstr>
      <vt:lpstr>SUBMOD_4_2_INTRAJORNADA_12X36_NOT</vt:lpstr>
      <vt:lpstr>'POSTO 44 HORAS (STM)'!SUBMOD_4_2_INTRAJORNADA_44H</vt:lpstr>
      <vt:lpstr>'POSTO 44 HORAS ATM'!SUBMOD_4_2_INTRAJORNADA_44H</vt:lpstr>
      <vt:lpstr>SUBMOD_4_2_INTRAJORNADA_44H</vt:lpstr>
      <vt:lpstr>TEMPO_INTERVALO_REFEICAO</vt:lpstr>
      <vt:lpstr>TIPO_DE_SERVICO</vt:lpstr>
      <vt:lpstr>TRANSPORTE_POR_DIA</vt:lpstr>
      <vt:lpstr>UG</vt:lpstr>
      <vt:lpstr>UNIFORMES</vt:lpstr>
      <vt:lpstr>'POSTO 12x36 HORAS - DIURNO (CAS'!VALOR_TOTAL_EMPREGADO_12x36_DIU</vt:lpstr>
      <vt:lpstr>'POSTO 12x36 HORAS - DIURNO (STM'!VALOR_TOTAL_EMPREGADO_12x36_DIU</vt:lpstr>
      <vt:lpstr>'POSTO 12x36 HORAS - DIURNO ATM'!VALOR_TOTAL_EMPREGADO_12x36_DIU</vt:lpstr>
      <vt:lpstr>'POSTO 12x36 HORAS - DIURNO ITA'!VALOR_TOTAL_EMPREGADO_12x36_DIU</vt:lpstr>
      <vt:lpstr>'POSTO 12x36 HORAS - DIURNO MAB'!VALOR_TOTAL_EMPREGADO_12x36_DIU</vt:lpstr>
      <vt:lpstr>'POSTO 12x36 HORAS - DIURNO PGN'!VALOR_TOTAL_EMPREGADO_12x36_DIU</vt:lpstr>
      <vt:lpstr>'POSTO 12x36 HORAS - DIURNO RDO'!VALOR_TOTAL_EMPREGADO_12x36_DIU</vt:lpstr>
      <vt:lpstr>'POSTO 12x36 HORAS - DIURNO TUU'!VALOR_TOTAL_EMPREGADO_12x36_DIU</vt:lpstr>
      <vt:lpstr>VALOR_TOTAL_EMPREGADO_12x36_DIU</vt:lpstr>
      <vt:lpstr>'POSTO 12x36 HORAS - NOTU - CAST'!VALOR_TOTAL_EMPREGADO_12x36_NOT</vt:lpstr>
      <vt:lpstr>'POSTO 12x36 HORAS - NOTURNO ATM'!VALOR_TOTAL_EMPREGADO_12x36_NOT</vt:lpstr>
      <vt:lpstr>'POSTO 12x36 HORAS - NOTURNO ITA'!VALOR_TOTAL_EMPREGADO_12x36_NOT</vt:lpstr>
      <vt:lpstr>'POSTO 12x36 HORAS - NOTURNO MAB'!VALOR_TOTAL_EMPREGADO_12x36_NOT</vt:lpstr>
      <vt:lpstr>'POSTO 12x36 HORAS - NOTURNO PGN'!VALOR_TOTAL_EMPREGADO_12x36_NOT</vt:lpstr>
      <vt:lpstr>'POSTO 12x36 HORAS - NOTURNO RDO'!VALOR_TOTAL_EMPREGADO_12x36_NOT</vt:lpstr>
      <vt:lpstr>'POSTO 12x36 HORAS - NOTURNO STM'!VALOR_TOTAL_EMPREGADO_12x36_NOT</vt:lpstr>
      <vt:lpstr>'POSTO 12x36 HORAS - NOTURNO TUU'!VALOR_TOTAL_EMPREGADO_12x36_NOT</vt:lpstr>
      <vt:lpstr>VALOR_TOTAL_EMPREGADO_12x36_NOT</vt:lpstr>
      <vt:lpstr>'POSTO 44 HORAS (STM)'!VALOR_TOTAL_EMPREGADO_44H</vt:lpstr>
      <vt:lpstr>'POSTO 44 HORAS ATM'!VALOR_TOTAL_EMPREGADO_44H</vt:lpstr>
      <vt:lpstr>VALOR_TOTAL_EMPREGADO_44H</vt:lpstr>
      <vt:lpstr>'POSTO 12x36 HORAS - DIURNO (CAS'!VALOR_TOTAL_POSTO_12x36_DIU</vt:lpstr>
      <vt:lpstr>'POSTO 12x36 HORAS - DIURNO (STM'!VALOR_TOTAL_POSTO_12x36_DIU</vt:lpstr>
      <vt:lpstr>'POSTO 12x36 HORAS - DIURNO ATM'!VALOR_TOTAL_POSTO_12x36_DIU</vt:lpstr>
      <vt:lpstr>'POSTO 12x36 HORAS - DIURNO ITA'!VALOR_TOTAL_POSTO_12x36_DIU</vt:lpstr>
      <vt:lpstr>'POSTO 12x36 HORAS - DIURNO MAB'!VALOR_TOTAL_POSTO_12x36_DIU</vt:lpstr>
      <vt:lpstr>'POSTO 12x36 HORAS - DIURNO PGN'!VALOR_TOTAL_POSTO_12x36_DIU</vt:lpstr>
      <vt:lpstr>'POSTO 12x36 HORAS - DIURNO RDO'!VALOR_TOTAL_POSTO_12x36_DIU</vt:lpstr>
      <vt:lpstr>'POSTO 12x36 HORAS - DIURNO TUU'!VALOR_TOTAL_POSTO_12x36_DIU</vt:lpstr>
      <vt:lpstr>VALOR_TOTAL_POSTO_12x36_DIU</vt:lpstr>
      <vt:lpstr>'POSTO 12x36 HORAS - NOTU - CAST'!VALOR_TOTAL_POSTO_12x36_NOT</vt:lpstr>
      <vt:lpstr>'POSTO 12x36 HORAS - NOTURNO ATM'!VALOR_TOTAL_POSTO_12x36_NOT</vt:lpstr>
      <vt:lpstr>'POSTO 12x36 HORAS - NOTURNO ITA'!VALOR_TOTAL_POSTO_12x36_NOT</vt:lpstr>
      <vt:lpstr>'POSTO 12x36 HORAS - NOTURNO MAB'!VALOR_TOTAL_POSTO_12x36_NOT</vt:lpstr>
      <vt:lpstr>'POSTO 12x36 HORAS - NOTURNO PGN'!VALOR_TOTAL_POSTO_12x36_NOT</vt:lpstr>
      <vt:lpstr>'POSTO 12x36 HORAS - NOTURNO RDO'!VALOR_TOTAL_POSTO_12x36_NOT</vt:lpstr>
      <vt:lpstr>'POSTO 12x36 HORAS - NOTURNO STM'!VALOR_TOTAL_POSTO_12x36_NOT</vt:lpstr>
      <vt:lpstr>'POSTO 12x36 HORAS - NOTURNO TUU'!VALOR_TOTAL_POSTO_12x36_NOT</vt:lpstr>
      <vt:lpstr>VALOR_TOTAL_POSTO_12x36_NOT</vt:lpstr>
      <vt:lpstr>'POSTO 44 HORAS (STM)'!VALOR_TOTAL_POSTO_44H</vt:lpstr>
      <vt:lpstr>'POSTO 44 HORAS ATM'!VALOR_TOTAL_POSTO_44H</vt:lpstr>
      <vt:lpstr>VALOR_TOTAL_POSTO_44H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Flores da Silva</dc:creator>
  <cp:lastModifiedBy>Carlos Ricardo</cp:lastModifiedBy>
  <cp:lastPrinted>2020-09-17T15:19:15Z</cp:lastPrinted>
  <dcterms:created xsi:type="dcterms:W3CDTF">2014-02-07T18:14:59Z</dcterms:created>
  <dcterms:modified xsi:type="dcterms:W3CDTF">2020-10-19T12:43:11Z</dcterms:modified>
</cp:coreProperties>
</file>