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 activeTab="4"/>
  </bookViews>
  <sheets>
    <sheet name="Modelo de planilha form. preço" sheetId="1" r:id="rId1"/>
    <sheet name="Memorial de cálculo" sheetId="2" r:id="rId2"/>
    <sheet name="Modelo de proposta" sheetId="6" r:id="rId3"/>
    <sheet name="Mod. planilha Equip.material" sheetId="3" r:id="rId4"/>
    <sheet name="Mod. planilha Uniforme" sheetId="4" r:id="rId5"/>
  </sheets>
  <externalReferences>
    <externalReference r:id="rId6"/>
  </externalReferences>
  <definedNames>
    <definedName name="ACORDO_COLETIVO">'[1]INSERÇÃO-DE-DADOS'!$F$14</definedName>
    <definedName name="AL_1_A_SAL_BASE_12X36_DIU">'Modelo de planilha form. preço'!$F$25</definedName>
    <definedName name="AL_2_2_FGTS_12X36_DIU">'Modelo de planilha form. preço'!$F$47</definedName>
    <definedName name="AL_6_A_CUSTOS_INDIRETOS_12X36_DIU">'Modelo de planilha form. preço'!$F$86</definedName>
    <definedName name="AL_6_B_LUCRO_12X36_DIU">'Modelo de planilha form. preço'!$F$87</definedName>
    <definedName name="AL_6_C_TRIBUTOS_12X36_DIU">'Modelo de planilha form. preço'!$F$88</definedName>
    <definedName name="ALIMENTACAO_POR_DIA">'[1]INSERÇÃO-DE-DADOS'!$F$61</definedName>
    <definedName name="CATEGORIA_PROFISSIONAL">'[1]INSERÇÃO-DE-DADOS'!$D$45</definedName>
    <definedName name="CBO">'[1]INSERÇÃO-DE-DADOS'!$D$44</definedName>
    <definedName name="DATA_APRESENTACAO_PROPOSTA">'[1]INSERÇÃO-DE-DADOS'!$F$11</definedName>
    <definedName name="DATA_BASE_CATEGORIA">'[1]INSERÇÃO-DE-DADOS'!$F$46</definedName>
    <definedName name="DATA_DO_ORCAMENTO_ESTIMATIVO">'[1]INSERÇÃO-DE-DADOS'!$F$2</definedName>
    <definedName name="DIAS_AUSENCIAS_LEGAIS">'[1]DADOS-ESTATISTICOS'!$F$29</definedName>
    <definedName name="DIAS_LICENCA_MATERNIDADE">'[1]DADOS-ESTATISTICOS'!$F$35</definedName>
    <definedName name="DIAS_LICENCA_PATERNIDADE">'[1]DADOS-ESTATISTICOS'!$F$30</definedName>
    <definedName name="DIAS_NA_SEMANA">'[1]DADOS-ESTATISTICOS'!$F$5</definedName>
    <definedName name="DIAS_NO_MES">'[1]DADOS-ESTATISTICOS'!$F$24</definedName>
    <definedName name="DIAS_PAGOS_EMPRESA_ACID_TRAB">'[1]DADOS-ESTATISTICOS'!$F$34</definedName>
    <definedName name="DIAS_TRABALHADOS_NO_MES_12X36">'[1]DADOS-ESTATISTICOS'!$F$15</definedName>
    <definedName name="DIVISOR_DE_HORAS">'[1]DADOS-ESTATISTICOS'!$F$4</definedName>
    <definedName name="EMPREG_POR_POSTO_12X36_DIU">'Modelo de planilha form. preço'!$F$22</definedName>
    <definedName name="HORA_NORMAL">'[1]DADOS-ESTATISTICOS'!$F$9</definedName>
    <definedName name="LOCAL_DE_EXECUCAO">'[1]INSERÇÃO-DE-DADOS'!$D$12</definedName>
    <definedName name="MESES_NO_ANO">'[1]DADOS-ESTATISTICOS'!$F$8</definedName>
    <definedName name="MOD_1_REMUNERACAO_12X36_DIU">'Modelo de planilha form. preço'!$F$31</definedName>
    <definedName name="MOD_2_ENCARGOS_BENEFICIOS_12X36_DIU">'Modelo de planilha form. preço'!$F$37+'Modelo de planilha form. preço'!$F$48+'Modelo de planilha form. preço'!$F$56</definedName>
    <definedName name="MOD_3_PROVISAO_RESCISAO_12X36_DIU">'Modelo de planilha form. preço'!$F$62</definedName>
    <definedName name="MOD_4_CUSTO_REPOSICAO_12X36_DIU">'Modelo de planilha form. preço'!$F$72+'Modelo de planilha form. preço'!$F$76</definedName>
    <definedName name="MOD_5_INSUMOS_12X36_DIU">'Modelo de planilha form. preço'!$F$83</definedName>
    <definedName name="MOD_6_CUSTOS_IND_LUCRO_TRIB_12X36_DIU">'Modelo de planilha form. preço'!$F$92</definedName>
    <definedName name="MODALIDADE_DE_LICITACAO">'[1]INSERÇÃO-DE-DADOS'!$D$7</definedName>
    <definedName name="NUMERO_MESES_EXEC_CONTRATUAL">'[1]INSERÇÃO-DE-DADOS'!$F$15</definedName>
    <definedName name="NUMERO_PREGAO">'[1]INSERÇÃO-DE-DADOS'!$F$7</definedName>
    <definedName name="NUMERO_PROCESSO">'[1]INSERÇÃO-DE-DADOS'!$D$6</definedName>
    <definedName name="OUTRAS_AUSENCIAS_DESCRICAO">'[1]INSERÇÃO-DE-DADOS'!$C$69</definedName>
    <definedName name="OUTROS_BENEFICIOS_1_DESCRICAO">'[1]INSERÇÃO-DE-DADOS'!$C$62</definedName>
    <definedName name="OUTROS_BENEFICIOS_2_DESCRICAO">'[1]INSERÇÃO-DE-DADOS'!$C$63</definedName>
    <definedName name="OUTROS_BENEFICIOS_3_DESCRICAO">'[1]INSERÇÃO-DE-DADOS'!$C$64</definedName>
    <definedName name="OUTROS_INSUMOS">'[1]INSERÇÃO-DE-DADOS'!$F$82</definedName>
    <definedName name="OUTROS_INSUMOS_DESCRICAO">'[1]INSERÇÃO-DE-DADOS'!$C$82</definedName>
    <definedName name="OUTROS_REMUNERACAO_1_DESCRICAO">'[1]INSERÇÃO-DE-DADOS'!$C$55:$E$55</definedName>
    <definedName name="OUTROS_REMUNERACAO_2">'[1]INSERÇÃO-DE-DADOS'!$F$56</definedName>
    <definedName name="OUTROS_REMUNERACAO_2_DESCRICAO">'[1]INSERÇÃO-DE-DADOS'!$C$56:$E$56</definedName>
    <definedName name="PERC_ADIC_FERIAS">'[1]ENCARGOS-SOCIAIS-E-TRABALHISTAS'!$E$6</definedName>
    <definedName name="PERC_ADIC_PERIC">'[1]INSERÇÃO-DE-DADOS'!$F$53</definedName>
    <definedName name="PERC_AVISO_PREVIO_IND">'[1]ENCARGOS-SOCIAIS-E-TRABALHISTAS'!$E$20</definedName>
    <definedName name="PERC_AVISO_PREVIO_TRAB">'[1]ENCARGOS-SOCIAIS-E-TRABALHISTAS'!$E$21</definedName>
    <definedName name="PERC_COFINS">'[1]INSERÇÃO-DE-DADOS'!$F$89</definedName>
    <definedName name="PERC_CUSTOS_INDIRETOS">'[1]INSERÇÃO-DE-DADOS'!$F$86</definedName>
    <definedName name="PERC_DEC_TERC">'[1]ENCARGOS-SOCIAIS-E-TRABALHISTAS'!$E$5</definedName>
    <definedName name="PERC_DESC_TRANSP_REMUNERACAO">'[1]DADOS-ESTATISTICOS'!$F$14</definedName>
    <definedName name="PERC_EMPREG_AFAST_TRAB">'[1]DADOS-ESTATISTICOS'!$F$33</definedName>
    <definedName name="PERC_EMPREG_AVISO_PREVIO_IND">'[1]DADOS-ESTATISTICOS'!$F$21</definedName>
    <definedName name="PERC_EMPREG_AVISO_PREVIO_TRAB">'[1]DADOS-ESTATISTICOS'!$F$23</definedName>
    <definedName name="PERC_EMPREG_DEMIT_SEM_JUSTA_CAUSA_TOTAL_DESLIG">'[1]DADOS-ESTATISTICOS'!$F$20</definedName>
    <definedName name="PERC_FGTS">'[1]ENCARGOS-SOCIAIS-E-TRABALHISTAS'!$E$16</definedName>
    <definedName name="PERC_GPS_FGTS">'Memorial de cálculo'!$E$17</definedName>
    <definedName name="PERC_INCRA">'[1]ENCARGOS-SOCIAIS-E-TRABALHISTAS'!$E$15</definedName>
    <definedName name="PERC_INSS">'[1]ENCARGOS-SOCIAIS-E-TRABALHISTAS'!$E$9</definedName>
    <definedName name="PERC_ISS">'[1]INSERÇÃO-DE-DADOS'!$F$90</definedName>
    <definedName name="PERC_LUCRO">'[1]INSERÇÃO-DE-DADOS'!$F$87</definedName>
    <definedName name="PERC_MULTA_FGTS">'[1]DADOS-ESTATISTICOS'!$F$22</definedName>
    <definedName name="PERC_MULTA_FGTS_AV_PREV_TRAB">'[1]ENCARGOS-SOCIAIS-E-TRABALHISTAS'!$E$22</definedName>
    <definedName name="PERC_NASCIDOS_VIVOS_POPUL_FEM">'[1]DADOS-ESTATISTICOS'!$F$31</definedName>
    <definedName name="PERC_PARTIC_FEM_VIGIL">'[1]DADOS-ESTATISTICOS'!$F$36</definedName>
    <definedName name="PERC_PARTIC_MASC_VIGIL">'[1]DADOS-ESTATISTICOS'!$F$32</definedName>
    <definedName name="PERC_PIS">'[1]INSERÇÃO-DE-DADOS'!$F$88</definedName>
    <definedName name="PERC_RAT">'[1]ENCARGOS-SOCIAIS-E-TRABALHISTAS'!$E$11</definedName>
    <definedName name="PERC_SAL_EDUCACAO">'[1]ENCARGOS-SOCIAIS-E-TRABALHISTAS'!$E$10</definedName>
    <definedName name="PERC_SEBRAE">'[1]ENCARGOS-SOCIAIS-E-TRABALHISTAS'!$E$14</definedName>
    <definedName name="PERC_SENAC">'[1]ENCARGOS-SOCIAIS-E-TRABALHISTAS'!$E$13</definedName>
    <definedName name="PERC_SESC">'[1]ENCARGOS-SOCIAIS-E-TRABALHISTAS'!$E$12</definedName>
    <definedName name="PERC_SUBSTITUTO_ACID_TRAB">'[1]ENCARGOS-SOCIAIS-E-TRABALHISTAS'!$E$29</definedName>
    <definedName name="PERC_SUBSTITUTO_AFAST_MATERN">'[1]ENCARGOS-SOCIAIS-E-TRABALHISTAS'!$E$30</definedName>
    <definedName name="PERC_SUBSTITUTO_AUSENCIAS_LEGAIS">'[1]ENCARGOS-SOCIAIS-E-TRABALHISTAS'!$E$27</definedName>
    <definedName name="PERC_SUBSTITUTO_FERIAS">'[1]ENCARGOS-SOCIAIS-E-TRABALHISTAS'!$E$26</definedName>
    <definedName name="PERC_SUBSTITUTO_LICENCA_PATERNIDADE">'[1]ENCARGOS-SOCIAIS-E-TRABALHISTAS'!$E$28</definedName>
    <definedName name="PERC_SUBSTITUTO_OUTRAS_AUSENCIAS">'[1]INSERÇÃO-DE-DADOS'!$F$69</definedName>
    <definedName name="PERC_TRIBUTOS">'[1]POSTO 12x36 HORAS - NOTURNO BEL'!$E$88</definedName>
    <definedName name="RAMO">'[1]INSERÇÃO-DE-DADOS'!$B$1</definedName>
    <definedName name="SALARIO_BASE">'[1]INSERÇÃO-DE-DADOS'!$F$52</definedName>
    <definedName name="SUBMOD_2_1_DEC_TERC_ADIC_FERIAS_12X36_DIU">'Modelo de planilha form. preço'!$F$37</definedName>
    <definedName name="SUBMOD_2_2_GPS_FGTS_12X36_DIU">'Modelo de planilha form. preço'!$F$48</definedName>
    <definedName name="SUBMOD_2_3_BENEFICIOS_12X36_DIU">'Modelo de planilha form. preço'!$F$56</definedName>
    <definedName name="TEMPO_INTERVALO_REFEICAO">'[1]INSERÇÃO-DE-DADOS'!$F$74</definedName>
    <definedName name="TIPO_DE_SERVICO">'[1]INSERÇÃO-DE-DADOS'!$E$43</definedName>
    <definedName name="TRANSPORTE_POR_DIA">'[1]INSERÇÃO-DE-DADOS'!$F$60</definedName>
    <definedName name="UG">'[1]INSERÇÃO-DE-DADOS'!$B$2</definedName>
    <definedName name="VALOR_TOTAL_EMPREGADO_12x36_DIU">'Modelo de planilha form. preço'!$F$104</definedName>
  </definedNames>
  <calcPr calcId="144525"/>
</workbook>
</file>

<file path=xl/calcChain.xml><?xml version="1.0" encoding="utf-8"?>
<calcChain xmlns="http://schemas.openxmlformats.org/spreadsheetml/2006/main">
  <c r="E31" i="2" l="1"/>
  <c r="C31" i="2"/>
  <c r="E29" i="2"/>
  <c r="E28" i="2"/>
  <c r="E27" i="2"/>
  <c r="E26" i="2"/>
  <c r="E22" i="2"/>
  <c r="E21" i="2"/>
  <c r="E20" i="2"/>
  <c r="E11" i="2"/>
  <c r="E17" i="2" s="1"/>
  <c r="E30" i="2" s="1"/>
  <c r="E6" i="2"/>
  <c r="E5" i="2"/>
  <c r="C94" i="1"/>
  <c r="C103" i="1" s="1"/>
  <c r="E91" i="1"/>
  <c r="E90" i="1"/>
  <c r="E89" i="1"/>
  <c r="E87" i="1"/>
  <c r="E86" i="1"/>
  <c r="C82" i="1"/>
  <c r="E71" i="1"/>
  <c r="C71" i="1"/>
  <c r="E70" i="1"/>
  <c r="E69" i="1"/>
  <c r="E68" i="1"/>
  <c r="E67" i="1"/>
  <c r="E66" i="1"/>
  <c r="E61" i="1"/>
  <c r="E60" i="1"/>
  <c r="E59" i="1"/>
  <c r="C55" i="1"/>
  <c r="C54" i="1"/>
  <c r="C53" i="1"/>
  <c r="E47" i="1"/>
  <c r="E46" i="1"/>
  <c r="E45" i="1"/>
  <c r="E44" i="1"/>
  <c r="E43" i="1"/>
  <c r="E42" i="1"/>
  <c r="E41" i="1"/>
  <c r="E40" i="1"/>
  <c r="E36" i="1"/>
  <c r="E35" i="1"/>
  <c r="C30" i="1"/>
  <c r="C29" i="1"/>
  <c r="F19" i="1"/>
  <c r="D18" i="1"/>
  <c r="D17" i="1"/>
  <c r="E16" i="1"/>
  <c r="F12" i="1"/>
  <c r="F11" i="1"/>
  <c r="D10" i="1"/>
  <c r="F7" i="1"/>
  <c r="D7" i="1"/>
  <c r="D6" i="1"/>
  <c r="B4" i="1"/>
  <c r="E88" i="1" l="1"/>
</calcChain>
</file>

<file path=xl/sharedStrings.xml><?xml version="1.0" encoding="utf-8"?>
<sst xmlns="http://schemas.openxmlformats.org/spreadsheetml/2006/main" count="391" uniqueCount="200">
  <si>
    <t>DATA:</t>
  </si>
  <si>
    <t>Dados referentes à licitação</t>
  </si>
  <si>
    <t>Nº do Processo</t>
  </si>
  <si>
    <t>DISCRIMINAÇÃO DOS SERVIÇOS (DADOS REFERENTES À CONTRATAÇÃO)</t>
  </si>
  <si>
    <t>A</t>
  </si>
  <si>
    <t>Data de Apresentação da Proposta (DD/MM/AAAA)</t>
  </si>
  <si>
    <t>B</t>
  </si>
  <si>
    <t>Local de Execução (Sede, Anexo I ou II, PTM, PRM)</t>
  </si>
  <si>
    <t>C</t>
  </si>
  <si>
    <t>Acordo, Conv. ou Sentença Normativa em Dissídio Coletivo (MM/AAAA)</t>
  </si>
  <si>
    <t>D</t>
  </si>
  <si>
    <t>Número de Meses de Execução Contratual</t>
  </si>
  <si>
    <t>E</t>
  </si>
  <si>
    <t>Quantidade de Postos</t>
  </si>
  <si>
    <t>CUSTOS POR EMPREGADO</t>
  </si>
  <si>
    <t>Tipo de Serviço (mesmo serviço com características distintas)</t>
  </si>
  <si>
    <t>Classificação Brasileira de Ocupações (CBO)</t>
  </si>
  <si>
    <t>Categoria Profissional (vinculada à execução contratual)</t>
  </si>
  <si>
    <t>Data-Base da Categoria (DD/MM/AAAA)</t>
  </si>
  <si>
    <t>EMPREGADOS POR POSTO</t>
  </si>
  <si>
    <t>MÓDULO 1: COMPOSIÇÃO DA REMUNERAÇÃO</t>
  </si>
  <si>
    <t>Composição da Remuneração</t>
  </si>
  <si>
    <t>Valor (R$)</t>
  </si>
  <si>
    <t>Salário-Base</t>
  </si>
  <si>
    <t>Adicional de Periculosidade</t>
  </si>
  <si>
    <t>TOTAL</t>
  </si>
  <si>
    <t>MÓDULO 2: ENCARGOS E BENEFÍCIOS ANUAIS, MENSAIS E DIÁRIOS</t>
  </si>
  <si>
    <t>Submódulo 2.1 - 13º (décimo terceiro) Salário e Adicional de Férias</t>
  </si>
  <si>
    <t>2.1</t>
  </si>
  <si>
    <t>13º Salário e Adicional de Férias</t>
  </si>
  <si>
    <t>%</t>
  </si>
  <si>
    <t>13º Salário</t>
  </si>
  <si>
    <t>Adicional de Férias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</si>
  <si>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</si>
  <si>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</si>
  <si>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</si>
  <si>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</si>
  <si>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</si>
  <si>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SAT</t>
  </si>
  <si>
    <t>SESC</t>
  </si>
  <si>
    <t>SENAC</t>
  </si>
  <si>
    <t>F</t>
  </si>
  <si>
    <t>SEBRAE</t>
  </si>
  <si>
    <t>G</t>
  </si>
  <si>
    <t>INCRA</t>
  </si>
  <si>
    <t>H</t>
  </si>
  <si>
    <t>FGTS</t>
  </si>
  <si>
    <t>Submódulo 2.3 - Benefícios Mensais e Diários</t>
  </si>
  <si>
    <t>2.3</t>
  </si>
  <si>
    <t>Benefícios Mensais e Diários</t>
  </si>
  <si>
    <t>Transporte</t>
  </si>
  <si>
    <t>Auxílio-Refeição/Alimentação</t>
  </si>
  <si>
    <t>MÓDULO 3: PROVISÃO PARA RESCISÃO</t>
  </si>
  <si>
    <t>Provisão para Rescisão</t>
  </si>
  <si>
    <t>Aviso Prévio Indenizado</t>
  </si>
  <si>
    <t>Aviso Prévio Trabalhado</t>
  </si>
  <si>
    <t>Multa do FGTS sobre o Aviso Prévio Trabalhado</t>
  </si>
  <si>
    <t>MÓDULO 4: CUSTO DE REPOSIÇÃO DO PROFISSIONAL AUSENTE</t>
  </si>
  <si>
    <t>Submódulo 4.1 - Substituto nas Ausências Legais</t>
  </si>
  <si>
    <t>4.1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</si>
  <si>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</si>
  <si>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</si>
  <si>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</si>
  <si>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</si>
  <si>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</si>
  <si>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</si>
  <si>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Submódulo 4.2 - Substituto na Intrajornada</t>
  </si>
  <si>
    <t>4.2</t>
  </si>
  <si>
    <t>Substituto na Intrajornada</t>
  </si>
  <si>
    <t>Substituto na Cobertura de Intervalo para Repouso e Alimentação</t>
  </si>
  <si>
    <t>MÓDULO 5: INSUMOS DIVERSOS</t>
  </si>
  <si>
    <t>Insumos Diversos</t>
  </si>
  <si>
    <t>Uniformes</t>
  </si>
  <si>
    <t>Equipamentos/Materiais por posto</t>
  </si>
  <si>
    <t>Equipamentos de proteção individual</t>
  </si>
  <si>
    <t>MÓDULO 6: CUSTOS INDIRETOS, TRIBUTOS E LUCRO</t>
  </si>
  <si>
    <t>Custos Indiretos, Tributos e Lucro</t>
  </si>
  <si>
    <t>Custos Indiretos</t>
  </si>
  <si>
    <t>Lucro</t>
  </si>
  <si>
    <t>Tributos</t>
  </si>
  <si>
    <t>C.1</t>
  </si>
  <si>
    <t>PIS</t>
  </si>
  <si>
    <t>C.2</t>
  </si>
  <si>
    <t>Cofins</t>
  </si>
  <si>
    <t>C.3</t>
  </si>
  <si>
    <t>ISS</t>
  </si>
  <si>
    <t>Indenização: Dia do Vigilante - 25 de maio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</si>
  <si>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</si>
  <si>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</si>
  <si>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</si>
  <si>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</si>
  <si>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</si>
  <si>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</si>
  <si>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</si>
  <si>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</si>
  <si>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ENCARGOS SOCIAIS E TRABALHISTAS</t>
  </si>
  <si>
    <t>Memória de Cálculo</t>
  </si>
  <si>
    <t>(1/12) x 100</t>
  </si>
  <si>
    <t>[(1/3)/12] x 100</t>
  </si>
  <si>
    <t>[(62,93%) x 5,55% x (1/12)] x 100</t>
  </si>
  <si>
    <t>[(62,93%) x 94,45% x (7/30)/12] x 100</t>
  </si>
  <si>
    <t>1,16% x 40%  x 8,00% x 100</t>
  </si>
  <si>
    <t xml:space="preserve">(1/12) x 100 </t>
  </si>
  <si>
    <t>[(8/30)/12] x 100</t>
  </si>
  <si>
    <t>{[(20/30)/12] x 1,416% x 86,46%} x 100</t>
  </si>
  <si>
    <t>[(15/30)/12] x 0,44%} x 100</t>
  </si>
  <si>
    <t>{[(180/30)/12] x 1,416% x 13,54% x 36,80%} x 100</t>
  </si>
  <si>
    <t>Substituto na Cobertura de Intervalo para Repouso e Alimentação (12x36h)</t>
  </si>
  <si>
    <t>[(mod1+mod2+mod3)/220]*1*15,2</t>
  </si>
  <si>
    <t>Substituto na Cobertura de Intervalo para Repouso e Alimentação (44h)</t>
  </si>
  <si>
    <t>[(mod1+mod2+mod3)/220]*1*22</t>
  </si>
  <si>
    <t>UNIDADE</t>
  </si>
  <si>
    <t>Apito</t>
  </si>
  <si>
    <t>UN</t>
  </si>
  <si>
    <t>Cordão de apito</t>
  </si>
  <si>
    <t>Capa de chuva</t>
  </si>
  <si>
    <t>Capa de colete balístico</t>
  </si>
  <si>
    <t>SUBTOTAL</t>
  </si>
  <si>
    <t>Cassetete</t>
  </si>
  <si>
    <t>Porta Cassetete</t>
  </si>
  <si>
    <t>Revolver Calibre 38</t>
  </si>
  <si>
    <t>Registro de arma</t>
  </si>
  <si>
    <t>Cinto com coldre e baleiro</t>
  </si>
  <si>
    <t>Rádio Portátil HT com bateria</t>
  </si>
  <si>
    <t>Colete balístico</t>
  </si>
  <si>
    <t>Guarda Chuva</t>
  </si>
  <si>
    <t>Lanterna</t>
  </si>
  <si>
    <t>Pilhas para lanterna</t>
  </si>
  <si>
    <t>Algema</t>
  </si>
  <si>
    <t>Detector de Metais Portátil</t>
  </si>
  <si>
    <t>Cofre Padrão Eletrônico para guarda de Armamento</t>
  </si>
  <si>
    <t>Categoria</t>
  </si>
  <si>
    <t>Descrição</t>
  </si>
  <si>
    <t>Uniforme especial - Vigilante masculino</t>
  </si>
  <si>
    <t>Terno: Paletó e calça social em tecido de microfibra maquinetada na cor preta, sob medida, 100% poliéster, com no mínimo 2 bolsos. Overlock em todas as partes desfiantes do tecido. Todo forrado em tecido 100% acetato</t>
  </si>
  <si>
    <t>Camisa social de manga longa, em tecido com no mínimo 50% de algodão, na cor branca ou usual da empresa. Overlock em todas as partes desfiantes do tecido.</t>
  </si>
  <si>
    <t>Gravata de poliéster, cor a definir</t>
  </si>
  <si>
    <t>Par de Meia Social preta</t>
  </si>
  <si>
    <t xml:space="preserve">Cinto em couro na cor preta </t>
  </si>
  <si>
    <t>Sapato em couro, modelo social</t>
  </si>
  <si>
    <t>Crachá</t>
  </si>
  <si>
    <t>Uniforme especial - Vigilante feminina</t>
  </si>
  <si>
    <t>Blazer básico, em oxford 100% poliéster, de 1ª qualidae, cor preta. Corte arredondado, forrado. 2 bolsos embutidos. Overlock em todas as partes desfiantes do tecido.</t>
  </si>
  <si>
    <t>Calça social em tecido oxford, 100% poliéster. Modelo social, sem prega, com cós, Overlock em todas as partes desfiantes do tecido.</t>
  </si>
  <si>
    <t>Camisa social de manga longa, em tecido com no mínimo 50% de algodão, na cor branca ou usual da empresa. Fechável com botões na cor do tecido. Overlock em todas as partes desfiantes do tecido.</t>
  </si>
  <si>
    <t>Sapato social preto, sem salto, cabedal em couro, sola antiderrapante</t>
  </si>
  <si>
    <t>Município</t>
  </si>
  <si>
    <t>Tipo</t>
  </si>
  <si>
    <t>Tipo de Vigilância</t>
  </si>
  <si>
    <t xml:space="preserve"> Postos MPF/PA</t>
  </si>
  <si>
    <t>Postos JF/PA</t>
  </si>
  <si>
    <t>VALORES (R$)</t>
  </si>
  <si>
    <t>VALOR MENSAL</t>
  </si>
  <si>
    <t>Belém</t>
  </si>
  <si>
    <t>Armada 44 horas diurnas semanais</t>
  </si>
  <si>
    <t>Armada 12 horas diurnas em revezamento 12/36 horas</t>
  </si>
  <si>
    <t>Armada 12 horas noturnas em revezamento 12/36 horas</t>
  </si>
  <si>
    <t>Totais para Belém</t>
  </si>
  <si>
    <t>Castanhal</t>
  </si>
  <si>
    <t>Totais para Castanhal</t>
  </si>
  <si>
    <t>Altamira</t>
  </si>
  <si>
    <t>Totais para Altamira</t>
  </si>
  <si>
    <t>Itaituba</t>
  </si>
  <si>
    <t>Totais para Itaituba</t>
  </si>
  <si>
    <t>Marabá</t>
  </si>
  <si>
    <t>Totais para Marabá</t>
  </si>
  <si>
    <t>Paragominas</t>
  </si>
  <si>
    <t>Totais para Paragominas</t>
  </si>
  <si>
    <t>Redenção</t>
  </si>
  <si>
    <t>Totais para Redenção</t>
  </si>
  <si>
    <t>Tucuruí</t>
  </si>
  <si>
    <t>Totais para Tucuruí</t>
  </si>
  <si>
    <t>Santarém</t>
  </si>
  <si>
    <t>Totais para Santarém</t>
  </si>
  <si>
    <t>VALOR TOTAL MENSAL</t>
  </si>
  <si>
    <t>VALOR UNITÁRIO</t>
  </si>
  <si>
    <t>Valor anual (12 meses)</t>
  </si>
  <si>
    <t>Soma total dos postos</t>
  </si>
  <si>
    <t>TOTAIS</t>
  </si>
  <si>
    <t xml:space="preserve">MODELO DE PROPOSTA </t>
  </si>
  <si>
    <t>Valor Unitário - R$</t>
  </si>
  <si>
    <t>Valor total - R$</t>
  </si>
  <si>
    <t>R$</t>
  </si>
  <si>
    <t>MODELO DE PROPOSTA DE UNIFORME</t>
  </si>
  <si>
    <t>MODELO DE PROPOSTA DE  EQUIPAMENTO/MATERIAL</t>
  </si>
  <si>
    <t>MODELO DE PLANILHA DE FORMAÇÃO DE PREÇO</t>
  </si>
  <si>
    <t>Valor unitário - R$</t>
  </si>
  <si>
    <t>DESCRIÇÃO</t>
  </si>
  <si>
    <t>Livro de ocorrência</t>
  </si>
  <si>
    <t>TOTALIZADORES</t>
  </si>
  <si>
    <t>XX</t>
  </si>
  <si>
    <t>Modalidade de Licitação: Pregão Eletrônico</t>
  </si>
  <si>
    <t>Fonte: Referencial Técnico de Custos da Auditoria Interna do MPU (AUDIN)</t>
  </si>
  <si>
    <t>QUANTIDADE</t>
  </si>
  <si>
    <t>Munição calibre 38</t>
  </si>
  <si>
    <t>MINISTÉRIO PÚBLICO FEDERAL - PA</t>
  </si>
  <si>
    <t>Adicional Noturno</t>
  </si>
  <si>
    <t xml:space="preserve">Adicional de hota noturna reduzida </t>
  </si>
  <si>
    <t>PLANILHA DE CUSTOS E FORMAÇÃO DE PREÇOS</t>
  </si>
  <si>
    <r>
      <rPr>
        <b/>
        <sz val="12"/>
        <rFont val="Calibri"/>
        <family val="2"/>
      </rPr>
      <t>OBS</t>
    </r>
    <r>
      <rPr>
        <b/>
        <sz val="12"/>
        <color rgb="FFFF0000"/>
        <rFont val="Calibri"/>
        <family val="2"/>
      </rPr>
      <t xml:space="preserve">: </t>
    </r>
    <r>
      <rPr>
        <b/>
        <sz val="12"/>
        <rFont val="Calibri"/>
        <family val="2"/>
      </rPr>
      <t>OS LANCES DEVERÃO SER EFETUADOS PELO</t>
    </r>
    <r>
      <rPr>
        <b/>
        <sz val="12"/>
        <color rgb="FFFF0000"/>
        <rFont val="Calibri"/>
        <family val="2"/>
      </rPr>
      <t xml:space="preserve"> " VALOR TOTAL MENSAL 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</si>
</sst>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* #,##0.00_-;\-&quot;R$&quot;* #,##0.00_-;_-&quot;R$&quot;* &quot;-&quot;??_-;_-@_-"/>
    <numFmt numFmtId="164" formatCode="#,##0.00_ ;\-#,##0.00\ "/>
    <numFmt numFmtId="165" formatCode="_-&quot;R$&quot;\ * #,##0.00_-;\-&quot;R$&quot;\ * #,##0.00_-;_-&quot;R$&quot;\ * &quot;-&quot;??_-;_-@_-"/>
    <numFmt numFmtId="166" formatCode="&quot;R$ &quot;#,##0.00"/>
    <numFmt numFmtId="167" formatCode="[$R$-416]&quot; &quot;#,##0.00;[Red]&quot;-&quot;[$R$-416]&quot; &quot;#,##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Segoe UI Light"/>
      <family val="2"/>
    </font>
    <font>
      <sz val="11"/>
      <name val="Segoe UI Light"/>
      <family val="2"/>
    </font>
    <font>
      <b/>
      <sz val="16"/>
      <color theme="5" tint="-0.499984740745262"/>
      <name val="Segoe UI Light"/>
      <family val="2"/>
    </font>
    <font>
      <sz val="8"/>
      <name val="Segoe UI Light"/>
      <family val="2"/>
    </font>
    <font>
      <b/>
      <sz val="11"/>
      <color theme="0"/>
      <name val="Segoe UI Light"/>
      <family val="2"/>
    </font>
    <font>
      <b/>
      <sz val="12"/>
      <color theme="5" tint="-0.499984740745262"/>
      <name val="Segoe UI Light"/>
      <family val="2"/>
    </font>
    <font>
      <b/>
      <sz val="11"/>
      <name val="Segoe UI Light"/>
      <family val="2"/>
    </font>
    <font>
      <sz val="11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sz val="11"/>
      <color rgb="FFFF0000"/>
      <name val="Segoe UI Light"/>
      <family val="2"/>
    </font>
    <font>
      <i/>
      <sz val="10"/>
      <color theme="0"/>
      <name val="Segoe UI Light"/>
      <family val="2"/>
    </font>
    <font>
      <i/>
      <sz val="10"/>
      <name val="Segoe UI Light"/>
      <family val="2"/>
    </font>
    <font>
      <b/>
      <sz val="14"/>
      <color theme="5" tint="-0.499984740745262"/>
      <name val="Segoe UI Light"/>
      <family val="2"/>
    </font>
    <font>
      <b/>
      <sz val="18"/>
      <name val="Segoe UI Light"/>
      <family val="2"/>
    </font>
    <font>
      <sz val="7"/>
      <color theme="1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sz val="12"/>
      <color indexed="8"/>
      <name val="Segoe UI"/>
      <family val="2"/>
    </font>
    <font>
      <sz val="12"/>
      <color rgb="FF000000"/>
      <name val="Segoe UI"/>
      <family val="2"/>
    </font>
    <font>
      <sz val="12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Liberation Sans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2"/>
      <color rgb="FFC9211E"/>
      <name val="Calibri"/>
      <family val="2"/>
    </font>
    <font>
      <b/>
      <sz val="14"/>
      <color rgb="FFFF0000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14"/>
      <color rgb="FFFF0000"/>
      <name val="Segoe UI Light"/>
      <family val="2"/>
    </font>
    <font>
      <b/>
      <sz val="20"/>
      <color rgb="FFFF0000"/>
      <name val="Segoe UI Light"/>
      <family val="2"/>
    </font>
    <font>
      <b/>
      <sz val="14"/>
      <name val="Segoe UI Light"/>
      <family val="2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D55816"/>
        <bgColor indexed="41"/>
      </patternFill>
    </fill>
    <fill>
      <patternFill patternType="solid">
        <fgColor rgb="FFD55816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29FCF"/>
        <bgColor rgb="FF729FCF"/>
      </patternFill>
    </fill>
    <fill>
      <patternFill patternType="solid">
        <fgColor rgb="FFB0C4DE"/>
        <bgColor rgb="FFB0C4DE"/>
      </patternFill>
    </fill>
    <fill>
      <patternFill patternType="solid">
        <fgColor rgb="FFFFFF00"/>
        <bgColor rgb="FFFFFF00"/>
      </patternFill>
    </fill>
    <fill>
      <patternFill patternType="solid">
        <fgColor rgb="FFB0E0E6"/>
        <bgColor rgb="FFB0E0E6"/>
      </patternFill>
    </fill>
    <fill>
      <patternFill patternType="solid">
        <fgColor rgb="FFFFFF00"/>
        <bgColor rgb="FFB0C4DE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4.9989318521683403E-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1">
    <xf numFmtId="0" fontId="0" fillId="0" borderId="0" xfId="0"/>
    <xf numFmtId="0" fontId="3" fillId="3" borderId="0" xfId="0" applyFont="1" applyFill="1" applyBorder="1" applyProtection="1"/>
    <xf numFmtId="0" fontId="3" fillId="3" borderId="0" xfId="0" applyFont="1" applyFill="1" applyProtection="1"/>
    <xf numFmtId="14" fontId="2" fillId="4" borderId="1" xfId="0" applyNumberFormat="1" applyFont="1" applyFill="1" applyBorder="1" applyAlignment="1" applyProtection="1">
      <alignment horizontal="right"/>
    </xf>
    <xf numFmtId="0" fontId="5" fillId="3" borderId="0" xfId="0" applyFont="1" applyFill="1" applyBorder="1" applyProtection="1"/>
    <xf numFmtId="0" fontId="5" fillId="5" borderId="0" xfId="0" applyFont="1" applyFill="1" applyProtection="1"/>
    <xf numFmtId="2" fontId="3" fillId="4" borderId="1" xfId="0" applyNumberFormat="1" applyFont="1" applyFill="1" applyBorder="1" applyAlignment="1" applyProtection="1">
      <alignment horizontal="center"/>
    </xf>
    <xf numFmtId="0" fontId="5" fillId="5" borderId="0" xfId="0" applyFont="1" applyFill="1" applyBorder="1" applyProtection="1"/>
    <xf numFmtId="0" fontId="6" fillId="6" borderId="5" xfId="0" applyFont="1" applyFill="1" applyBorder="1" applyAlignment="1" applyProtection="1">
      <alignment horizontal="center"/>
    </xf>
    <xf numFmtId="0" fontId="6" fillId="6" borderId="5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justify" vertical="center" wrapText="1"/>
    </xf>
    <xf numFmtId="2" fontId="3" fillId="2" borderId="1" xfId="0" applyNumberFormat="1" applyFont="1" applyFill="1" applyBorder="1" applyAlignment="1" applyProtection="1">
      <alignment horizontal="center"/>
    </xf>
    <xf numFmtId="0" fontId="3" fillId="7" borderId="1" xfId="0" applyNumberFormat="1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vertical="center"/>
    </xf>
    <xf numFmtId="0" fontId="8" fillId="9" borderId="0" xfId="0" applyFont="1" applyFill="1" applyBorder="1" applyAlignment="1" applyProtection="1">
      <alignment horizontal="left" vertical="center"/>
    </xf>
    <xf numFmtId="0" fontId="3" fillId="3" borderId="0" xfId="0" applyNumberFormat="1" applyFont="1" applyFill="1" applyBorder="1" applyAlignment="1" applyProtection="1">
      <alignment horizontal="center"/>
    </xf>
    <xf numFmtId="0" fontId="4" fillId="3" borderId="0" xfId="0" applyFont="1" applyFill="1" applyProtection="1"/>
    <xf numFmtId="0" fontId="3" fillId="7" borderId="5" xfId="0" applyFont="1" applyFill="1" applyBorder="1" applyAlignment="1" applyProtection="1"/>
    <xf numFmtId="0" fontId="3" fillId="8" borderId="5" xfId="0" applyFont="1" applyFill="1" applyBorder="1" applyAlignment="1" applyProtection="1"/>
    <xf numFmtId="14" fontId="3" fillId="4" borderId="1" xfId="0" applyNumberFormat="1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left"/>
    </xf>
    <xf numFmtId="14" fontId="3" fillId="5" borderId="0" xfId="0" applyNumberFormat="1" applyFont="1" applyFill="1" applyBorder="1" applyAlignment="1" applyProtection="1">
      <alignment horizontal="center"/>
    </xf>
    <xf numFmtId="37" fontId="8" fillId="3" borderId="0" xfId="0" applyNumberFormat="1" applyFont="1" applyFill="1" applyBorder="1" applyAlignment="1" applyProtection="1">
      <alignment horizontal="center" wrapText="1"/>
    </xf>
    <xf numFmtId="0" fontId="9" fillId="3" borderId="0" xfId="0" applyFont="1" applyFill="1" applyProtection="1"/>
    <xf numFmtId="0" fontId="6" fillId="3" borderId="0" xfId="0" applyFont="1" applyFill="1" applyBorder="1" applyAlignment="1" applyProtection="1">
      <alignment horizontal="center" vertical="center" wrapText="1"/>
    </xf>
    <xf numFmtId="0" fontId="10" fillId="3" borderId="0" xfId="0" applyFont="1" applyFill="1" applyAlignment="1" applyProtection="1">
      <alignment horizontal="left"/>
    </xf>
    <xf numFmtId="0" fontId="3" fillId="5" borderId="0" xfId="0" applyFont="1" applyFill="1" applyProtection="1"/>
    <xf numFmtId="39" fontId="3" fillId="3" borderId="0" xfId="0" applyNumberFormat="1" applyFont="1" applyFill="1" applyBorder="1" applyAlignment="1" applyProtection="1">
      <alignment horizontal="right"/>
    </xf>
    <xf numFmtId="0" fontId="6" fillId="10" borderId="1" xfId="0" applyFont="1" applyFill="1" applyBorder="1" applyAlignment="1" applyProtection="1">
      <alignment horizontal="center" vertical="center" wrapText="1"/>
    </xf>
    <xf numFmtId="4" fontId="3" fillId="8" borderId="1" xfId="0" applyNumberFormat="1" applyFont="1" applyFill="1" applyBorder="1" applyAlignment="1" applyProtection="1">
      <alignment horizontal="right" vertical="center" wrapText="1"/>
    </xf>
    <xf numFmtId="4" fontId="3" fillId="3" borderId="0" xfId="0" applyNumberFormat="1" applyFont="1" applyFill="1" applyBorder="1" applyAlignment="1" applyProtection="1">
      <alignment horizontal="right" vertical="center" wrapText="1"/>
    </xf>
    <xf numFmtId="4" fontId="3" fillId="7" borderId="1" xfId="0" applyNumberFormat="1" applyFont="1" applyFill="1" applyBorder="1" applyAlignment="1" applyProtection="1">
      <alignment horizontal="right" vertical="center" wrapText="1"/>
    </xf>
    <xf numFmtId="4" fontId="6" fillId="11" borderId="1" xfId="0" applyNumberFormat="1" applyFont="1" applyFill="1" applyBorder="1" applyAlignment="1" applyProtection="1">
      <alignment horizontal="right" vertical="center" wrapText="1"/>
    </xf>
    <xf numFmtId="39" fontId="3" fillId="3" borderId="0" xfId="0" applyNumberFormat="1" applyFont="1" applyFill="1" applyAlignment="1" applyProtection="1">
      <alignment horizontal="center"/>
    </xf>
    <xf numFmtId="0" fontId="8" fillId="3" borderId="0" xfId="0" applyFont="1" applyFill="1" applyBorder="1" applyAlignment="1" applyProtection="1">
      <alignment horizontal="left"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39" fontId="8" fillId="3" borderId="0" xfId="0" applyNumberFormat="1" applyFont="1" applyFill="1" applyBorder="1" applyAlignment="1" applyProtection="1">
      <alignment horizontal="center" vertical="center" wrapText="1"/>
    </xf>
    <xf numFmtId="0" fontId="6" fillId="10" borderId="5" xfId="0" applyFont="1" applyFill="1" applyBorder="1" applyAlignment="1" applyProtection="1">
      <alignment horizontal="center" vertical="center" wrapText="1"/>
    </xf>
    <xf numFmtId="2" fontId="3" fillId="8" borderId="5" xfId="0" applyNumberFormat="1" applyFont="1" applyFill="1" applyBorder="1" applyAlignment="1" applyProtection="1">
      <alignment horizontal="center" vertical="center" wrapText="1"/>
    </xf>
    <xf numFmtId="39" fontId="3" fillId="8" borderId="1" xfId="0" applyNumberFormat="1" applyFont="1" applyFill="1" applyBorder="1" applyAlignment="1" applyProtection="1">
      <alignment horizontal="right" vertical="center" wrapText="1"/>
    </xf>
    <xf numFmtId="0" fontId="6" fillId="6" borderId="5" xfId="0" applyFont="1" applyFill="1" applyBorder="1" applyAlignment="1" applyProtection="1">
      <alignment horizontal="center" vertical="center" wrapText="1"/>
    </xf>
    <xf numFmtId="2" fontId="3" fillId="7" borderId="5" xfId="0" applyNumberFormat="1" applyFont="1" applyFill="1" applyBorder="1" applyAlignment="1" applyProtection="1">
      <alignment horizontal="center" vertical="center"/>
    </xf>
    <xf numFmtId="39" fontId="3" fillId="7" borderId="1" xfId="0" applyNumberFormat="1" applyFont="1" applyFill="1" applyBorder="1" applyAlignment="1" applyProtection="1">
      <alignment horizontal="right" vertical="center" wrapText="1"/>
    </xf>
    <xf numFmtId="4" fontId="6" fillId="6" borderId="1" xfId="0" applyNumberFormat="1" applyFont="1" applyFill="1" applyBorder="1" applyAlignment="1" applyProtection="1">
      <alignment horizontal="right"/>
    </xf>
    <xf numFmtId="0" fontId="11" fillId="3" borderId="0" xfId="0" applyFont="1" applyFill="1" applyProtection="1"/>
    <xf numFmtId="0" fontId="11" fillId="3" borderId="0" xfId="0" applyFont="1" applyFill="1" applyBorder="1" applyProtection="1"/>
    <xf numFmtId="2" fontId="3" fillId="7" borderId="5" xfId="0" applyNumberFormat="1" applyFont="1" applyFill="1" applyBorder="1" applyAlignment="1" applyProtection="1">
      <alignment horizontal="center" vertical="center" wrapText="1"/>
    </xf>
    <xf numFmtId="4" fontId="6" fillId="6" borderId="1" xfId="0" applyNumberFormat="1" applyFont="1" applyFill="1" applyBorder="1" applyAlignment="1" applyProtection="1">
      <alignment horizontal="right" vertical="center"/>
    </xf>
    <xf numFmtId="164" fontId="3" fillId="7" borderId="5" xfId="0" applyNumberFormat="1" applyFont="1" applyFill="1" applyBorder="1" applyAlignment="1" applyProtection="1">
      <alignment horizontal="center" vertical="center" wrapText="1"/>
    </xf>
    <xf numFmtId="4" fontId="3" fillId="8" borderId="5" xfId="0" applyNumberFormat="1" applyFont="1" applyFill="1" applyBorder="1" applyAlignment="1" applyProtection="1">
      <alignment horizontal="right" vertical="center" wrapText="1"/>
    </xf>
    <xf numFmtId="0" fontId="6" fillId="6" borderId="7" xfId="0" applyFont="1" applyFill="1" applyBorder="1" applyAlignment="1" applyProtection="1">
      <alignment horizontal="center" vertical="center"/>
    </xf>
    <xf numFmtId="0" fontId="6" fillId="10" borderId="8" xfId="0" applyFont="1" applyFill="1" applyBorder="1" applyAlignment="1" applyProtection="1">
      <alignment horizontal="center" vertical="center" wrapText="1"/>
    </xf>
    <xf numFmtId="0" fontId="6" fillId="6" borderId="7" xfId="0" applyFont="1" applyFill="1" applyBorder="1" applyAlignment="1" applyProtection="1">
      <alignment horizontal="center"/>
    </xf>
    <xf numFmtId="39" fontId="3" fillId="8" borderId="8" xfId="0" applyNumberFormat="1" applyFont="1" applyFill="1" applyBorder="1" applyAlignment="1" applyProtection="1">
      <alignment horizontal="right" vertical="center" wrapText="1"/>
    </xf>
    <xf numFmtId="39" fontId="3" fillId="7" borderId="8" xfId="0" applyNumberFormat="1" applyFont="1" applyFill="1" applyBorder="1" applyAlignment="1" applyProtection="1">
      <alignment horizontal="right" vertical="center" wrapText="1"/>
    </xf>
    <xf numFmtId="4" fontId="6" fillId="11" borderId="8" xfId="0" applyNumberFormat="1" applyFont="1" applyFill="1" applyBorder="1" applyAlignment="1" applyProtection="1">
      <alignment horizontal="right" vertical="center" wrapText="1"/>
    </xf>
    <xf numFmtId="39" fontId="3" fillId="8" borderId="5" xfId="0" applyNumberFormat="1" applyFont="1" applyFill="1" applyBorder="1" applyAlignment="1" applyProtection="1">
      <alignment horizontal="center" vertical="center" wrapText="1"/>
    </xf>
    <xf numFmtId="39" fontId="3" fillId="7" borderId="5" xfId="0" applyNumberFormat="1" applyFont="1" applyFill="1" applyBorder="1" applyAlignment="1" applyProtection="1">
      <alignment horizontal="center" vertical="center" wrapText="1"/>
    </xf>
    <xf numFmtId="0" fontId="12" fillId="6" borderId="5" xfId="0" applyFont="1" applyFill="1" applyBorder="1" applyAlignment="1" applyProtection="1">
      <alignment horizontal="center" vertical="center" wrapText="1"/>
    </xf>
    <xf numFmtId="39" fontId="13" fillId="7" borderId="5" xfId="0" applyNumberFormat="1" applyFont="1" applyFill="1" applyBorder="1" applyAlignment="1" applyProtection="1">
      <alignment horizontal="center" vertical="center" wrapText="1"/>
    </xf>
    <xf numFmtId="39" fontId="13" fillId="7" borderId="1" xfId="0" applyNumberFormat="1" applyFont="1" applyFill="1" applyBorder="1" applyAlignment="1" applyProtection="1">
      <alignment horizontal="right" vertical="center" wrapText="1"/>
    </xf>
    <xf numFmtId="39" fontId="13" fillId="8" borderId="5" xfId="0" applyNumberFormat="1" applyFont="1" applyFill="1" applyBorder="1" applyAlignment="1" applyProtection="1">
      <alignment horizontal="center" vertical="center" wrapText="1"/>
    </xf>
    <xf numFmtId="39" fontId="13" fillId="8" borderId="1" xfId="0" applyNumberFormat="1" applyFont="1" applyFill="1" applyBorder="1" applyAlignment="1" applyProtection="1">
      <alignment horizontal="right" vertical="center" wrapText="1"/>
    </xf>
    <xf numFmtId="0" fontId="11" fillId="3" borderId="0" xfId="0" applyFont="1" applyFill="1" applyAlignment="1" applyProtection="1">
      <alignment wrapText="1"/>
    </xf>
    <xf numFmtId="39" fontId="6" fillId="6" borderId="1" xfId="0" applyNumberFormat="1" applyFont="1" applyFill="1" applyBorder="1" applyAlignment="1" applyProtection="1">
      <alignment horizontal="right" vertical="center" wrapText="1"/>
    </xf>
    <xf numFmtId="0" fontId="11" fillId="3" borderId="0" xfId="0" applyFont="1" applyFill="1" applyBorder="1" applyAlignment="1" applyProtection="1">
      <alignment wrapText="1"/>
    </xf>
    <xf numFmtId="0" fontId="6" fillId="6" borderId="0" xfId="0" applyFont="1" applyFill="1" applyBorder="1" applyAlignment="1" applyProtection="1">
      <alignment horizontal="left" vertical="center"/>
    </xf>
    <xf numFmtId="0" fontId="1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 wrapText="1"/>
    </xf>
    <xf numFmtId="39" fontId="3" fillId="3" borderId="0" xfId="0" applyNumberFormat="1" applyFont="1" applyFill="1" applyBorder="1" applyAlignment="1" applyProtection="1">
      <alignment horizontal="center" vertical="center" wrapText="1"/>
    </xf>
    <xf numFmtId="0" fontId="11" fillId="3" borderId="0" xfId="0" applyFont="1" applyFill="1" applyAlignment="1" applyProtection="1">
      <alignment horizontal="left" wrapText="1"/>
    </xf>
    <xf numFmtId="0" fontId="11" fillId="3" borderId="0" xfId="0" applyFont="1" applyFill="1" applyAlignment="1" applyProtection="1">
      <alignment horizontal="center" wrapText="1"/>
    </xf>
    <xf numFmtId="0" fontId="3" fillId="3" borderId="0" xfId="0" applyFont="1" applyFill="1" applyAlignment="1" applyProtection="1">
      <alignment wrapText="1"/>
    </xf>
    <xf numFmtId="164" fontId="3" fillId="3" borderId="0" xfId="0" applyNumberFormat="1" applyFont="1" applyFill="1" applyProtection="1"/>
    <xf numFmtId="2" fontId="6" fillId="6" borderId="5" xfId="0" applyNumberFormat="1" applyFont="1" applyFill="1" applyBorder="1" applyAlignment="1" applyProtection="1">
      <alignment horizontal="center" vertical="center"/>
    </xf>
    <xf numFmtId="0" fontId="3" fillId="7" borderId="5" xfId="0" applyFont="1" applyFill="1" applyBorder="1" applyAlignment="1" applyProtection="1">
      <alignment horizontal="left" vertical="center" wrapText="1"/>
    </xf>
    <xf numFmtId="2" fontId="3" fillId="3" borderId="0" xfId="0" applyNumberFormat="1" applyFont="1" applyFill="1" applyBorder="1" applyAlignment="1" applyProtection="1">
      <alignment horizontal="center" vertical="center" wrapText="1"/>
    </xf>
    <xf numFmtId="2" fontId="3" fillId="3" borderId="0" xfId="0" applyNumberFormat="1" applyFont="1" applyFill="1" applyBorder="1" applyAlignment="1" applyProtection="1">
      <alignment horizontal="center" vertical="center"/>
    </xf>
    <xf numFmtId="2" fontId="3" fillId="7" borderId="0" xfId="0" applyNumberFormat="1" applyFont="1" applyFill="1" applyBorder="1" applyAlignment="1" applyProtection="1">
      <alignment horizontal="center" vertical="center"/>
    </xf>
    <xf numFmtId="0" fontId="6" fillId="6" borderId="0" xfId="0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6" fillId="0" borderId="0" xfId="0" applyFont="1"/>
    <xf numFmtId="0" fontId="17" fillId="14" borderId="12" xfId="0" applyFont="1" applyFill="1" applyBorder="1" applyAlignment="1" applyProtection="1">
      <alignment horizontal="center" vertical="center" wrapText="1"/>
    </xf>
    <xf numFmtId="0" fontId="18" fillId="0" borderId="0" xfId="0" applyFont="1"/>
    <xf numFmtId="0" fontId="20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horizontal="center" vertical="center" wrapText="1"/>
    </xf>
    <xf numFmtId="44" fontId="21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166" fontId="19" fillId="0" borderId="15" xfId="1" applyNumberFormat="1" applyFont="1" applyFill="1" applyBorder="1" applyAlignment="1" applyProtection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166" fontId="19" fillId="0" borderId="11" xfId="1" applyNumberFormat="1" applyFont="1" applyFill="1" applyBorder="1" applyAlignment="1" applyProtection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7" fillId="14" borderId="20" xfId="0" applyFont="1" applyFill="1" applyBorder="1" applyAlignment="1" applyProtection="1">
      <alignment horizontal="center" vertical="center" wrapText="1"/>
    </xf>
    <xf numFmtId="0" fontId="20" fillId="0" borderId="18" xfId="0" applyFont="1" applyBorder="1" applyAlignment="1">
      <alignment vertical="center" wrapText="1"/>
    </xf>
    <xf numFmtId="166" fontId="19" fillId="0" borderId="18" xfId="1" applyNumberFormat="1" applyFont="1" applyFill="1" applyBorder="1" applyAlignment="1" applyProtection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24" fillId="15" borderId="22" xfId="0" applyFont="1" applyFill="1" applyBorder="1"/>
    <xf numFmtId="0" fontId="24" fillId="0" borderId="0" xfId="0" applyFont="1"/>
    <xf numFmtId="0" fontId="27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right"/>
    </xf>
    <xf numFmtId="167" fontId="31" fillId="0" borderId="0" xfId="0" applyNumberFormat="1" applyFont="1" applyFill="1" applyBorder="1" applyAlignment="1">
      <alignment horizontal="right"/>
    </xf>
    <xf numFmtId="0" fontId="27" fillId="0" borderId="24" xfId="0" applyFont="1" applyBorder="1" applyAlignment="1">
      <alignment horizontal="left"/>
    </xf>
    <xf numFmtId="0" fontId="27" fillId="0" borderId="24" xfId="0" applyFont="1" applyBorder="1" applyAlignment="1">
      <alignment horizontal="center"/>
    </xf>
    <xf numFmtId="167" fontId="27" fillId="0" borderId="24" xfId="0" applyNumberFormat="1" applyFont="1" applyFill="1" applyBorder="1" applyAlignment="1">
      <alignment horizontal="center"/>
    </xf>
    <xf numFmtId="167" fontId="28" fillId="0" borderId="24" xfId="0" applyNumberFormat="1" applyFont="1" applyFill="1" applyBorder="1" applyAlignment="1">
      <alignment horizontal="center"/>
    </xf>
    <xf numFmtId="0" fontId="25" fillId="16" borderId="24" xfId="0" applyFont="1" applyFill="1" applyBorder="1" applyAlignment="1">
      <alignment horizontal="center"/>
    </xf>
    <xf numFmtId="0" fontId="25" fillId="16" borderId="24" xfId="0" applyFont="1" applyFill="1" applyBorder="1" applyAlignment="1">
      <alignment horizontal="right"/>
    </xf>
    <xf numFmtId="167" fontId="29" fillId="16" borderId="24" xfId="0" applyNumberFormat="1" applyFont="1" applyFill="1" applyBorder="1" applyAlignment="1">
      <alignment horizontal="center"/>
    </xf>
    <xf numFmtId="0" fontId="25" fillId="0" borderId="24" xfId="0" applyFont="1" applyFill="1" applyBorder="1" applyAlignment="1">
      <alignment horizontal="center"/>
    </xf>
    <xf numFmtId="167" fontId="25" fillId="16" borderId="24" xfId="0" applyNumberFormat="1" applyFont="1" applyFill="1" applyBorder="1" applyAlignment="1">
      <alignment horizontal="right"/>
    </xf>
    <xf numFmtId="0" fontId="27" fillId="0" borderId="24" xfId="0" applyFont="1" applyFill="1" applyBorder="1" applyAlignment="1">
      <alignment horizontal="left"/>
    </xf>
    <xf numFmtId="0" fontId="27" fillId="0" borderId="24" xfId="0" applyFont="1" applyFill="1" applyBorder="1" applyAlignment="1">
      <alignment horizontal="center"/>
    </xf>
    <xf numFmtId="0" fontId="30" fillId="17" borderId="24" xfId="0" applyFont="1" applyFill="1" applyBorder="1" applyAlignment="1">
      <alignment horizontal="center" vertical="center"/>
    </xf>
    <xf numFmtId="167" fontId="25" fillId="18" borderId="24" xfId="0" applyNumberFormat="1" applyFont="1" applyFill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30" fillId="16" borderId="24" xfId="0" applyFont="1" applyFill="1" applyBorder="1" applyAlignment="1">
      <alignment horizontal="center"/>
    </xf>
    <xf numFmtId="0" fontId="32" fillId="16" borderId="24" xfId="0" applyFont="1" applyFill="1" applyBorder="1" applyAlignment="1">
      <alignment horizontal="center"/>
    </xf>
    <xf numFmtId="0" fontId="26" fillId="17" borderId="24" xfId="0" applyFont="1" applyFill="1" applyBorder="1" applyAlignment="1">
      <alignment horizontal="center" vertical="center"/>
    </xf>
    <xf numFmtId="0" fontId="27" fillId="16" borderId="24" xfId="0" applyFont="1" applyFill="1" applyBorder="1" applyAlignment="1">
      <alignment horizontal="center"/>
    </xf>
    <xf numFmtId="0" fontId="24" fillId="20" borderId="21" xfId="0" applyFont="1" applyFill="1" applyBorder="1"/>
    <xf numFmtId="0" fontId="25" fillId="0" borderId="24" xfId="0" applyFont="1" applyFill="1" applyBorder="1" applyAlignment="1">
      <alignment horizontal="center" vertical="center"/>
    </xf>
    <xf numFmtId="0" fontId="18" fillId="0" borderId="11" xfId="0" applyFont="1" applyBorder="1"/>
    <xf numFmtId="0" fontId="18" fillId="0" borderId="15" xfId="0" applyFont="1" applyBorder="1"/>
    <xf numFmtId="0" fontId="23" fillId="0" borderId="11" xfId="0" applyFont="1" applyFill="1" applyBorder="1" applyAlignment="1" applyProtection="1">
      <alignment vertical="center" wrapText="1"/>
    </xf>
    <xf numFmtId="0" fontId="21" fillId="0" borderId="11" xfId="0" applyFont="1" applyBorder="1" applyAlignment="1">
      <alignment horizontal="center" vertical="center" wrapText="1"/>
    </xf>
    <xf numFmtId="165" fontId="21" fillId="3" borderId="11" xfId="1" applyNumberFormat="1" applyFont="1" applyFill="1" applyBorder="1" applyAlignment="1">
      <alignment horizontal="center" vertical="center"/>
    </xf>
    <xf numFmtId="14" fontId="35" fillId="4" borderId="1" xfId="0" applyNumberFormat="1" applyFont="1" applyFill="1" applyBorder="1" applyAlignment="1" applyProtection="1">
      <alignment horizontal="center"/>
    </xf>
    <xf numFmtId="0" fontId="35" fillId="8" borderId="1" xfId="0" applyNumberFormat="1" applyFont="1" applyFill="1" applyBorder="1" applyAlignment="1" applyProtection="1">
      <alignment horizontal="center"/>
    </xf>
    <xf numFmtId="0" fontId="30" fillId="12" borderId="0" xfId="0" applyFont="1" applyFill="1" applyBorder="1" applyAlignment="1">
      <alignment horizontal="left"/>
    </xf>
    <xf numFmtId="0" fontId="27" fillId="12" borderId="0" xfId="0" applyFont="1" applyFill="1" applyBorder="1" applyAlignment="1">
      <alignment horizontal="left"/>
    </xf>
    <xf numFmtId="167" fontId="32" fillId="18" borderId="24" xfId="0" applyNumberFormat="1" applyFont="1" applyFill="1" applyBorder="1" applyAlignment="1">
      <alignment horizontal="center"/>
    </xf>
    <xf numFmtId="39" fontId="3" fillId="8" borderId="1" xfId="0" applyNumberFormat="1" applyFont="1" applyFill="1" applyBorder="1" applyAlignment="1" applyProtection="1">
      <alignment horizontal="left" vertical="center" wrapText="1"/>
    </xf>
    <xf numFmtId="39" fontId="3" fillId="8" borderId="2" xfId="0" applyNumberFormat="1" applyFont="1" applyFill="1" applyBorder="1" applyAlignment="1" applyProtection="1">
      <alignment horizontal="left" vertical="center" wrapText="1"/>
    </xf>
    <xf numFmtId="39" fontId="3" fillId="8" borderId="3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Protection="1"/>
    <xf numFmtId="0" fontId="0" fillId="0" borderId="0" xfId="0" applyBorder="1"/>
    <xf numFmtId="0" fontId="3" fillId="2" borderId="5" xfId="0" applyFont="1" applyFill="1" applyBorder="1" applyAlignment="1" applyProtection="1">
      <alignment horizontal="left"/>
    </xf>
    <xf numFmtId="0" fontId="37" fillId="2" borderId="1" xfId="0" applyFont="1" applyFill="1" applyBorder="1" applyAlignment="1" applyProtection="1">
      <alignment horizontal="center"/>
    </xf>
    <xf numFmtId="0" fontId="37" fillId="2" borderId="2" xfId="0" applyFont="1" applyFill="1" applyBorder="1" applyAlignment="1" applyProtection="1">
      <alignment horizontal="center"/>
    </xf>
    <xf numFmtId="0" fontId="37" fillId="2" borderId="3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horizontal="left"/>
    </xf>
    <xf numFmtId="0" fontId="2" fillId="4" borderId="3" xfId="0" applyFont="1" applyFill="1" applyBorder="1" applyAlignment="1" applyProtection="1">
      <alignment horizontal="left"/>
    </xf>
    <xf numFmtId="0" fontId="6" fillId="6" borderId="4" xfId="0" applyFont="1" applyFill="1" applyBorder="1" applyAlignment="1" applyProtection="1">
      <alignment horizontal="left"/>
    </xf>
    <xf numFmtId="0" fontId="6" fillId="6" borderId="31" xfId="0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left"/>
    </xf>
    <xf numFmtId="0" fontId="3" fillId="4" borderId="5" xfId="0" applyFont="1" applyFill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left" vertical="center"/>
    </xf>
    <xf numFmtId="0" fontId="3" fillId="4" borderId="1" xfId="0" applyFont="1" applyFill="1" applyBorder="1" applyAlignment="1" applyProtection="1">
      <alignment horizontal="left" vertical="center"/>
    </xf>
    <xf numFmtId="0" fontId="3" fillId="7" borderId="1" xfId="0" applyFont="1" applyFill="1" applyBorder="1" applyAlignment="1" applyProtection="1">
      <alignment horizontal="left" vertical="center" wrapText="1"/>
    </xf>
    <xf numFmtId="0" fontId="3" fillId="7" borderId="2" xfId="0" applyFont="1" applyFill="1" applyBorder="1" applyAlignment="1" applyProtection="1">
      <alignment horizontal="left" vertical="center" wrapText="1"/>
    </xf>
    <xf numFmtId="0" fontId="3" fillId="7" borderId="3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/>
    </xf>
    <xf numFmtId="0" fontId="3" fillId="8" borderId="5" xfId="0" applyFont="1" applyFill="1" applyBorder="1" applyAlignment="1" applyProtection="1">
      <alignment horizontal="left"/>
    </xf>
    <xf numFmtId="0" fontId="3" fillId="8" borderId="5" xfId="0" applyFont="1" applyFill="1" applyBorder="1" applyAlignment="1" applyProtection="1">
      <alignment horizontal="center"/>
    </xf>
    <xf numFmtId="0" fontId="3" fillId="7" borderId="1" xfId="0" applyFont="1" applyFill="1" applyBorder="1" applyAlignment="1" applyProtection="1">
      <alignment horizontal="center"/>
    </xf>
    <xf numFmtId="0" fontId="3" fillId="7" borderId="2" xfId="0" applyFont="1" applyFill="1" applyBorder="1" applyAlignment="1" applyProtection="1">
      <alignment horizontal="center"/>
    </xf>
    <xf numFmtId="0" fontId="3" fillId="7" borderId="3" xfId="0" applyFont="1" applyFill="1" applyBorder="1" applyAlignment="1" applyProtection="1">
      <alignment horizontal="center"/>
    </xf>
    <xf numFmtId="0" fontId="3" fillId="7" borderId="5" xfId="0" applyFont="1" applyFill="1" applyBorder="1" applyAlignment="1" applyProtection="1">
      <alignment horizontal="left"/>
    </xf>
    <xf numFmtId="0" fontId="36" fillId="12" borderId="6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left" vertical="center"/>
    </xf>
    <xf numFmtId="0" fontId="6" fillId="10" borderId="1" xfId="0" applyFont="1" applyFill="1" applyBorder="1" applyAlignment="1" applyProtection="1">
      <alignment horizontal="left" vertical="center" wrapText="1"/>
    </xf>
    <xf numFmtId="0" fontId="6" fillId="10" borderId="2" xfId="0" applyFont="1" applyFill="1" applyBorder="1" applyAlignment="1" applyProtection="1">
      <alignment horizontal="left" vertical="center" wrapText="1"/>
    </xf>
    <xf numFmtId="0" fontId="6" fillId="10" borderId="3" xfId="0" applyFont="1" applyFill="1" applyBorder="1" applyAlignment="1" applyProtection="1">
      <alignment horizontal="left" vertical="center" wrapText="1"/>
    </xf>
    <xf numFmtId="39" fontId="3" fillId="8" borderId="1" xfId="0" applyNumberFormat="1" applyFont="1" applyFill="1" applyBorder="1" applyAlignment="1" applyProtection="1">
      <alignment horizontal="left" vertical="center" wrapText="1"/>
    </xf>
    <xf numFmtId="39" fontId="3" fillId="8" borderId="2" xfId="0" applyNumberFormat="1" applyFont="1" applyFill="1" applyBorder="1" applyAlignment="1" applyProtection="1">
      <alignment horizontal="left" vertical="center" wrapText="1"/>
    </xf>
    <xf numFmtId="39" fontId="3" fillId="8" borderId="3" xfId="0" applyNumberFormat="1" applyFont="1" applyFill="1" applyBorder="1" applyAlignment="1" applyProtection="1">
      <alignment horizontal="left" vertical="center" wrapText="1"/>
    </xf>
    <xf numFmtId="39" fontId="3" fillId="7" borderId="1" xfId="0" applyNumberFormat="1" applyFont="1" applyFill="1" applyBorder="1" applyAlignment="1" applyProtection="1">
      <alignment horizontal="left" vertical="center" wrapText="1"/>
    </xf>
    <xf numFmtId="39" fontId="3" fillId="7" borderId="2" xfId="0" applyNumberFormat="1" applyFont="1" applyFill="1" applyBorder="1" applyAlignment="1" applyProtection="1">
      <alignment horizontal="left" vertical="center" wrapText="1"/>
    </xf>
    <xf numFmtId="39" fontId="3" fillId="7" borderId="3" xfId="0" applyNumberFormat="1" applyFont="1" applyFill="1" applyBorder="1" applyAlignment="1" applyProtection="1">
      <alignment horizontal="left" vertical="center" wrapText="1"/>
    </xf>
    <xf numFmtId="0" fontId="6" fillId="6" borderId="1" xfId="0" applyFont="1" applyFill="1" applyBorder="1" applyAlignment="1" applyProtection="1">
      <alignment horizontal="left" vertical="center"/>
    </xf>
    <xf numFmtId="0" fontId="6" fillId="6" borderId="2" xfId="0" applyFont="1" applyFill="1" applyBorder="1" applyAlignment="1" applyProtection="1">
      <alignment horizontal="left" vertical="center"/>
    </xf>
    <xf numFmtId="0" fontId="6" fillId="6" borderId="3" xfId="0" applyFont="1" applyFill="1" applyBorder="1" applyAlignment="1" applyProtection="1">
      <alignment horizontal="left" vertical="center"/>
    </xf>
    <xf numFmtId="0" fontId="10" fillId="3" borderId="2" xfId="0" applyFont="1" applyFill="1" applyBorder="1" applyAlignment="1" applyProtection="1">
      <alignment horizontal="justify" vertical="center" wrapText="1"/>
    </xf>
    <xf numFmtId="0" fontId="6" fillId="6" borderId="1" xfId="0" applyFont="1" applyFill="1" applyBorder="1" applyAlignment="1" applyProtection="1">
      <alignment horizontal="justify" vertical="center" wrapText="1"/>
    </xf>
    <xf numFmtId="0" fontId="6" fillId="6" borderId="3" xfId="0" applyFont="1" applyFill="1" applyBorder="1" applyAlignment="1" applyProtection="1">
      <alignment horizontal="justify" vertical="center" wrapText="1"/>
    </xf>
    <xf numFmtId="0" fontId="3" fillId="8" borderId="5" xfId="0" applyFont="1" applyFill="1" applyBorder="1" applyAlignment="1" applyProtection="1">
      <alignment horizontal="left" vertical="center" wrapText="1"/>
    </xf>
    <xf numFmtId="0" fontId="3" fillId="8" borderId="5" xfId="0" applyFont="1" applyFill="1" applyBorder="1" applyAlignment="1" applyProtection="1">
      <alignment horizontal="justify" vertical="center"/>
    </xf>
    <xf numFmtId="0" fontId="3" fillId="7" borderId="5" xfId="0" applyFont="1" applyFill="1" applyBorder="1" applyAlignment="1" applyProtection="1">
      <alignment horizontal="justify" vertical="center"/>
    </xf>
    <xf numFmtId="0" fontId="6" fillId="6" borderId="5" xfId="0" applyFont="1" applyFill="1" applyBorder="1" applyAlignment="1" applyProtection="1">
      <alignment horizontal="left" vertical="center" wrapText="1"/>
    </xf>
    <xf numFmtId="0" fontId="3" fillId="7" borderId="5" xfId="0" applyFont="1" applyFill="1" applyBorder="1" applyAlignment="1" applyProtection="1">
      <alignment horizontal="left" vertical="center" wrapText="1"/>
    </xf>
    <xf numFmtId="0" fontId="10" fillId="3" borderId="0" xfId="0" applyFont="1" applyFill="1" applyBorder="1" applyAlignment="1" applyProtection="1">
      <alignment horizontal="left" wrapText="1"/>
    </xf>
    <xf numFmtId="4" fontId="3" fillId="7" borderId="5" xfId="0" applyNumberFormat="1" applyFont="1" applyFill="1" applyBorder="1" applyAlignment="1" applyProtection="1">
      <alignment horizontal="left" vertical="center" wrapText="1"/>
    </xf>
    <xf numFmtId="0" fontId="6" fillId="10" borderId="7" xfId="0" applyFont="1" applyFill="1" applyBorder="1" applyAlignment="1" applyProtection="1">
      <alignment horizontal="left" vertical="center" wrapText="1"/>
    </xf>
    <xf numFmtId="0" fontId="3" fillId="8" borderId="7" xfId="0" applyFont="1" applyFill="1" applyBorder="1" applyAlignment="1" applyProtection="1">
      <alignment horizontal="left" vertical="center" wrapText="1"/>
    </xf>
    <xf numFmtId="0" fontId="3" fillId="7" borderId="7" xfId="0" applyFont="1" applyFill="1" applyBorder="1" applyAlignment="1" applyProtection="1">
      <alignment horizontal="left" vertical="center" wrapText="1"/>
    </xf>
    <xf numFmtId="4" fontId="3" fillId="7" borderId="7" xfId="0" applyNumberFormat="1" applyFont="1" applyFill="1" applyBorder="1" applyAlignment="1" applyProtection="1">
      <alignment horizontal="left" vertical="center" wrapText="1"/>
    </xf>
    <xf numFmtId="0" fontId="6" fillId="11" borderId="7" xfId="0" applyFont="1" applyFill="1" applyBorder="1" applyAlignment="1" applyProtection="1">
      <alignment horizontal="left" vertical="center" wrapText="1"/>
    </xf>
    <xf numFmtId="0" fontId="13" fillId="7" borderId="5" xfId="0" applyFont="1" applyFill="1" applyBorder="1" applyAlignment="1" applyProtection="1">
      <alignment horizontal="left" vertical="center" wrapText="1" indent="1"/>
    </xf>
    <xf numFmtId="0" fontId="13" fillId="8" borderId="5" xfId="0" applyFont="1" applyFill="1" applyBorder="1" applyAlignment="1" applyProtection="1">
      <alignment horizontal="left" vertical="center" wrapText="1" indent="1"/>
    </xf>
    <xf numFmtId="0" fontId="15" fillId="13" borderId="0" xfId="0" applyFont="1" applyFill="1" applyAlignment="1" applyProtection="1">
      <alignment horizontal="center"/>
    </xf>
    <xf numFmtId="39" fontId="3" fillId="8" borderId="5" xfId="0" applyNumberFormat="1" applyFont="1" applyFill="1" applyBorder="1" applyAlignment="1" applyProtection="1">
      <alignment horizontal="left" vertical="center" wrapText="1"/>
    </xf>
    <xf numFmtId="0" fontId="6" fillId="6" borderId="1" xfId="0" applyFont="1" applyFill="1" applyBorder="1" applyAlignment="1" applyProtection="1">
      <alignment horizontal="left" vertical="center" wrapText="1"/>
    </xf>
    <xf numFmtId="0" fontId="6" fillId="6" borderId="2" xfId="0" applyFont="1" applyFill="1" applyBorder="1" applyAlignment="1" applyProtection="1">
      <alignment horizontal="left" vertical="center" wrapText="1"/>
    </xf>
    <xf numFmtId="0" fontId="6" fillId="6" borderId="3" xfId="0" applyFont="1" applyFill="1" applyBorder="1" applyAlignment="1" applyProtection="1">
      <alignment horizontal="left" vertical="center" wrapText="1"/>
    </xf>
    <xf numFmtId="0" fontId="10" fillId="3" borderId="9" xfId="0" applyFont="1" applyFill="1" applyBorder="1" applyAlignment="1" applyProtection="1">
      <alignment horizontal="left" vertical="center" wrapText="1"/>
    </xf>
    <xf numFmtId="0" fontId="6" fillId="6" borderId="5" xfId="0" applyFont="1" applyFill="1" applyBorder="1" applyAlignment="1" applyProtection="1">
      <alignment horizontal="justify" vertical="center" wrapText="1"/>
    </xf>
    <xf numFmtId="0" fontId="8" fillId="3" borderId="0" xfId="0" applyFont="1" applyFill="1" applyAlignment="1" applyProtection="1">
      <alignment horizontal="justify" vertical="center" wrapText="1"/>
    </xf>
    <xf numFmtId="0" fontId="25" fillId="16" borderId="24" xfId="0" applyFont="1" applyFill="1" applyBorder="1" applyAlignment="1">
      <alignment horizontal="center" vertical="center"/>
    </xf>
    <xf numFmtId="0" fontId="25" fillId="16" borderId="24" xfId="0" applyFont="1" applyFill="1" applyBorder="1" applyAlignment="1">
      <alignment horizontal="right" vertical="center"/>
    </xf>
    <xf numFmtId="0" fontId="25" fillId="16" borderId="24" xfId="0" applyFont="1" applyFill="1" applyBorder="1" applyAlignment="1">
      <alignment horizontal="right"/>
    </xf>
    <xf numFmtId="0" fontId="25" fillId="15" borderId="24" xfId="0" applyFont="1" applyFill="1" applyBorder="1" applyAlignment="1">
      <alignment horizontal="center" vertical="center"/>
    </xf>
    <xf numFmtId="0" fontId="25" fillId="15" borderId="23" xfId="0" applyFont="1" applyFill="1" applyBorder="1" applyAlignment="1">
      <alignment horizontal="center" vertical="center"/>
    </xf>
    <xf numFmtId="0" fontId="25" fillId="16" borderId="24" xfId="0" applyFont="1" applyFill="1" applyBorder="1" applyAlignment="1">
      <alignment horizontal="center" vertical="center" wrapText="1"/>
    </xf>
    <xf numFmtId="0" fontId="30" fillId="19" borderId="21" xfId="0" applyFont="1" applyFill="1" applyBorder="1" applyAlignment="1">
      <alignment horizontal="center" vertical="center" wrapText="1"/>
    </xf>
    <xf numFmtId="0" fontId="30" fillId="19" borderId="24" xfId="0" applyFont="1" applyFill="1" applyBorder="1" applyAlignment="1">
      <alignment horizontal="center" vertical="center" wrapText="1"/>
    </xf>
    <xf numFmtId="0" fontId="25" fillId="16" borderId="21" xfId="0" applyFont="1" applyFill="1" applyBorder="1" applyAlignment="1">
      <alignment horizontal="center" vertical="center"/>
    </xf>
    <xf numFmtId="0" fontId="25" fillId="16" borderId="22" xfId="0" applyFont="1" applyFill="1" applyBorder="1" applyAlignment="1">
      <alignment horizontal="center" vertical="center"/>
    </xf>
    <xf numFmtId="0" fontId="25" fillId="16" borderId="23" xfId="0" applyFont="1" applyFill="1" applyBorder="1" applyAlignment="1">
      <alignment horizontal="center" vertical="center"/>
    </xf>
    <xf numFmtId="0" fontId="33" fillId="13" borderId="0" xfId="0" applyFont="1" applyFill="1" applyAlignment="1">
      <alignment horizontal="center"/>
    </xf>
    <xf numFmtId="0" fontId="33" fillId="13" borderId="25" xfId="0" applyFont="1" applyFill="1" applyBorder="1" applyAlignment="1">
      <alignment horizontal="center"/>
    </xf>
    <xf numFmtId="0" fontId="22" fillId="13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 applyProtection="1">
      <alignment horizontal="center" vertical="center" wrapText="1"/>
    </xf>
    <xf numFmtId="0" fontId="17" fillId="14" borderId="28" xfId="0" applyFont="1" applyFill="1" applyBorder="1" applyAlignment="1" applyProtection="1">
      <alignment horizontal="center" vertical="center" wrapText="1"/>
    </xf>
    <xf numFmtId="0" fontId="17" fillId="14" borderId="29" xfId="0" applyFont="1" applyFill="1" applyBorder="1" applyAlignment="1" applyProtection="1">
      <alignment horizontal="center" vertical="center" wrapText="1"/>
    </xf>
    <xf numFmtId="0" fontId="17" fillId="14" borderId="30" xfId="0" applyFont="1" applyFill="1" applyBorder="1" applyAlignment="1" applyProtection="1">
      <alignment horizontal="center" vertical="center" wrapText="1"/>
    </xf>
    <xf numFmtId="0" fontId="19" fillId="0" borderId="14" xfId="0" applyFont="1" applyBorder="1" applyAlignment="1">
      <alignment horizontal="center" vertical="center" textRotation="90" wrapText="1"/>
    </xf>
    <xf numFmtId="0" fontId="19" fillId="0" borderId="16" xfId="0" applyFont="1" applyBorder="1" applyAlignment="1">
      <alignment horizontal="center" vertical="center" textRotation="90" wrapText="1"/>
    </xf>
    <xf numFmtId="0" fontId="19" fillId="0" borderId="17" xfId="0" applyFont="1" applyBorder="1" applyAlignment="1">
      <alignment horizontal="center" vertical="center" textRotation="90" wrapText="1"/>
    </xf>
    <xf numFmtId="0" fontId="34" fillId="13" borderId="0" xfId="0" applyFont="1" applyFill="1" applyAlignment="1">
      <alignment horizontal="center"/>
    </xf>
    <xf numFmtId="0" fontId="34" fillId="13" borderId="13" xfId="0" applyFont="1" applyFill="1" applyBorder="1" applyAlignment="1">
      <alignment horizontal="center"/>
    </xf>
    <xf numFmtId="0" fontId="19" fillId="0" borderId="26" xfId="0" applyFont="1" applyBorder="1" applyAlignment="1">
      <alignment horizontal="center" vertical="center" textRotation="90" wrapText="1"/>
    </xf>
    <xf numFmtId="0" fontId="19" fillId="0" borderId="27" xfId="0" applyFont="1" applyBorder="1" applyAlignment="1">
      <alignment horizontal="center" vertical="center" textRotation="90" wrapText="1"/>
    </xf>
    <xf numFmtId="0" fontId="19" fillId="0" borderId="19" xfId="0" applyFont="1" applyBorder="1" applyAlignment="1">
      <alignment horizontal="center" vertical="center" textRotation="90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s%20Ricardo/Desktop/VIGIL&#194;NCIA%20-%20PLANILHA%20DE%20CUSTOS%20VERS&#195;O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ERÇÃO-DE-DADOS"/>
      <sheetName val="DADOS-ESTATISTICOS"/>
      <sheetName val="ENCARGOS-SOCIAIS-E-TRABALHISTAS"/>
      <sheetName val="POSTO 12x36 HORAS - DIURNO BEL"/>
      <sheetName val="POSTO 12x36 HORAS - NOTURNO BEL"/>
      <sheetName val="POSTO 44 HORAS BEL"/>
      <sheetName val="LIMITES-SEGES"/>
      <sheetName val="POSTO 12x36 HORAS - DIURNO (STM"/>
      <sheetName val="POSTO 12x36 HORAS - NOTURNO STM"/>
      <sheetName val="POSTO 44 HORAS (STM)"/>
      <sheetName val="POSTO 12x36 HORAS - DIURNO TUU"/>
      <sheetName val="POSTO 12x36 HORAS - NOTURNO TUU"/>
      <sheetName val="POSTO 12x36 HORAS - DIURNO RDO"/>
      <sheetName val="POSTO 12x36 HORAS - NOTURNO RDO"/>
      <sheetName val="POSTO 12x36 HORAS - DIURNO PGN"/>
      <sheetName val="POSTO 12x36 HORAS - NOTURNO PGN"/>
      <sheetName val="POSTO 12x36 HORAS - DIURNO MAB"/>
      <sheetName val="POSTO 12x36 HORAS - NOTURNO MAB"/>
      <sheetName val="POSTO 12x36 HORAS - DIURNO ITA"/>
      <sheetName val="POSTO 12x36 HORAS - NOTURNO ITA"/>
      <sheetName val="POSTO 12x36 HORAS - DIURNO ATM"/>
      <sheetName val="POSTO 12x36 HORAS - NOTURNO ATM"/>
      <sheetName val="POSTO 44 HORAS ATM"/>
      <sheetName val="POSTO 12x36 HORAS - DIURNO (CAS"/>
      <sheetName val="POSTO 12x36 HORAS - NOTU - CAST"/>
      <sheetName val="QUADRO-RESUMO"/>
    </sheetNames>
    <sheetDataSet>
      <sheetData sheetId="0">
        <row r="1">
          <cell r="B1" t="str">
            <v>RAMO: MINISTÉRIO PÚBLICO FEDERAL</v>
          </cell>
        </row>
        <row r="2">
          <cell r="B2" t="str">
            <v>UNIDADE GESTORA (SIGLA): PR-PA</v>
          </cell>
          <cell r="F2">
            <v>44077</v>
          </cell>
        </row>
        <row r="6">
          <cell r="D6" t="str">
            <v>1.23.000.000855/2020-32</v>
          </cell>
        </row>
        <row r="7">
          <cell r="D7" t="str">
            <v>Pregão SRP nº</v>
          </cell>
          <cell r="F7" t="str">
            <v>06/2020</v>
          </cell>
        </row>
        <row r="11">
          <cell r="F11" t="str">
            <v>XX/XX/2020</v>
          </cell>
        </row>
        <row r="12">
          <cell r="D12" t="str">
            <v>SEDE PR-PA / JF - Belém</v>
          </cell>
        </row>
        <row r="14">
          <cell r="F14" t="str">
            <v>CCT 2020/2021</v>
          </cell>
        </row>
        <row r="15">
          <cell r="F15">
            <v>12</v>
          </cell>
        </row>
        <row r="43">
          <cell r="E43" t="str">
            <v>Vigilância</v>
          </cell>
        </row>
        <row r="44">
          <cell r="D44" t="str">
            <v>5173-30</v>
          </cell>
        </row>
        <row r="45">
          <cell r="D45" t="str">
            <v>Vigilante</v>
          </cell>
        </row>
        <row r="46">
          <cell r="F46">
            <v>43831</v>
          </cell>
        </row>
        <row r="52">
          <cell r="F52">
            <v>1401.07</v>
          </cell>
        </row>
        <row r="53">
          <cell r="F53">
            <v>30</v>
          </cell>
        </row>
        <row r="55">
          <cell r="C55" t="str">
            <v>DSR - Adicional noturno - 1/6</v>
          </cell>
          <cell r="D55"/>
          <cell r="E55"/>
        </row>
        <row r="56">
          <cell r="C56" t="str">
            <v>DSR - Hora noturna reduzida - 1/6</v>
          </cell>
          <cell r="D56"/>
          <cell r="E56"/>
          <cell r="F56"/>
        </row>
        <row r="60">
          <cell r="F60">
            <v>7.2</v>
          </cell>
        </row>
        <row r="61">
          <cell r="F61">
            <v>26</v>
          </cell>
        </row>
        <row r="62">
          <cell r="C62" t="str">
            <v>Auxílio saúde</v>
          </cell>
        </row>
        <row r="63">
          <cell r="C63" t="str">
            <v>Auxílio morte/funeral</v>
          </cell>
        </row>
        <row r="64">
          <cell r="C64" t="str">
            <v>Seguro de vida</v>
          </cell>
        </row>
        <row r="69">
          <cell r="C69" t="str">
            <v>Outras Ausências (Especificar - em %)</v>
          </cell>
          <cell r="F69"/>
        </row>
        <row r="74">
          <cell r="F74">
            <v>60</v>
          </cell>
        </row>
        <row r="82">
          <cell r="C82" t="str">
            <v>Outros (Especificar)</v>
          </cell>
          <cell r="F82"/>
        </row>
        <row r="86">
          <cell r="F86">
            <v>4.8499999999999996</v>
          </cell>
        </row>
        <row r="87">
          <cell r="F87">
            <v>5.45</v>
          </cell>
        </row>
        <row r="88">
          <cell r="F88">
            <v>0.65</v>
          </cell>
        </row>
        <row r="89">
          <cell r="F89">
            <v>3</v>
          </cell>
        </row>
        <row r="90">
          <cell r="F90">
            <v>5</v>
          </cell>
        </row>
        <row r="92">
          <cell r="C92" t="str">
            <v>Dia do Vigilante - Clausula 82ª CCT - Jornada 12x36 diurno</v>
          </cell>
          <cell r="D92"/>
          <cell r="E92"/>
        </row>
      </sheetData>
      <sheetData sheetId="1">
        <row r="4">
          <cell r="F4">
            <v>220</v>
          </cell>
        </row>
        <row r="5">
          <cell r="F5">
            <v>7</v>
          </cell>
        </row>
        <row r="8">
          <cell r="F8">
            <v>12</v>
          </cell>
        </row>
        <row r="9">
          <cell r="F9">
            <v>60</v>
          </cell>
        </row>
        <row r="14">
          <cell r="F14">
            <v>6</v>
          </cell>
        </row>
        <row r="15">
          <cell r="F15">
            <v>15</v>
          </cell>
        </row>
        <row r="20">
          <cell r="F20">
            <v>62.93</v>
          </cell>
        </row>
        <row r="21">
          <cell r="F21">
            <v>5.55</v>
          </cell>
        </row>
        <row r="22">
          <cell r="F22">
            <v>40</v>
          </cell>
        </row>
        <row r="23">
          <cell r="F23">
            <v>94.45</v>
          </cell>
        </row>
        <row r="24">
          <cell r="F24">
            <v>30</v>
          </cell>
        </row>
        <row r="29">
          <cell r="F29">
            <v>8</v>
          </cell>
        </row>
        <row r="30">
          <cell r="F30">
            <v>20</v>
          </cell>
        </row>
        <row r="31">
          <cell r="F31">
            <v>1.42</v>
          </cell>
        </row>
        <row r="32">
          <cell r="F32">
            <v>86.46</v>
          </cell>
        </row>
        <row r="33">
          <cell r="F33">
            <v>0.44</v>
          </cell>
        </row>
        <row r="34">
          <cell r="F34">
            <v>15</v>
          </cell>
        </row>
        <row r="35">
          <cell r="F35">
            <v>180</v>
          </cell>
        </row>
        <row r="36">
          <cell r="F36">
            <v>13.54</v>
          </cell>
        </row>
      </sheetData>
      <sheetData sheetId="2">
        <row r="5">
          <cell r="E5">
            <v>8.33</v>
          </cell>
        </row>
        <row r="6">
          <cell r="E6">
            <v>2.78</v>
          </cell>
        </row>
        <row r="9">
          <cell r="E9">
            <v>20</v>
          </cell>
        </row>
        <row r="10">
          <cell r="E10">
            <v>2.5</v>
          </cell>
        </row>
        <row r="11">
          <cell r="E11">
            <v>6</v>
          </cell>
        </row>
        <row r="12">
          <cell r="E12">
            <v>1.5</v>
          </cell>
        </row>
        <row r="13">
          <cell r="E13">
            <v>1</v>
          </cell>
        </row>
        <row r="14">
          <cell r="E14">
            <v>0.6</v>
          </cell>
        </row>
        <row r="15">
          <cell r="E15">
            <v>0.2</v>
          </cell>
        </row>
        <row r="16">
          <cell r="E16">
            <v>8</v>
          </cell>
        </row>
        <row r="20">
          <cell r="E20">
            <v>0.28999999999999998</v>
          </cell>
        </row>
        <row r="21">
          <cell r="E21">
            <v>1.1599999999999999</v>
          </cell>
        </row>
        <row r="22">
          <cell r="E22">
            <v>0.04</v>
          </cell>
        </row>
        <row r="26">
          <cell r="E26">
            <v>8.33</v>
          </cell>
        </row>
        <row r="27">
          <cell r="E27">
            <v>2.2200000000000002</v>
          </cell>
        </row>
        <row r="28">
          <cell r="E28">
            <v>7.0000000000000007E-2</v>
          </cell>
        </row>
        <row r="29">
          <cell r="E29">
            <v>0.02</v>
          </cell>
        </row>
        <row r="30">
          <cell r="E30">
            <v>0.04</v>
          </cell>
        </row>
      </sheetData>
      <sheetData sheetId="3"/>
      <sheetData sheetId="4">
        <row r="88">
          <cell r="E88">
            <v>8.65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opLeftCell="A92" workbookViewId="0">
      <selection activeCell="F112" sqref="F112"/>
    </sheetView>
  </sheetViews>
  <sheetFormatPr defaultColWidth="9.109375" defaultRowHeight="16.8" x14ac:dyDescent="0.4"/>
  <cols>
    <col min="1" max="1" width="2.6640625" style="2" customWidth="1"/>
    <col min="2" max="2" width="8.88671875" style="2" customWidth="1"/>
    <col min="3" max="3" width="52.5546875" style="27" customWidth="1"/>
    <col min="4" max="4" width="7.88671875" style="27" customWidth="1"/>
    <col min="5" max="5" width="13.5546875" style="27" customWidth="1"/>
    <col min="6" max="6" width="24.44140625" style="27" customWidth="1"/>
    <col min="7" max="7" width="15.44140625" style="1" customWidth="1"/>
    <col min="8" max="8" width="65.33203125" style="2" customWidth="1"/>
    <col min="9" max="10" width="12.5546875" style="2" bestFit="1" customWidth="1"/>
    <col min="11" max="16384" width="9.109375" style="2"/>
  </cols>
  <sheetData>
    <row r="1" spans="1:8" x14ac:dyDescent="0.4">
      <c r="A1" s="197" t="s">
        <v>185</v>
      </c>
      <c r="B1" s="197"/>
      <c r="C1" s="197"/>
      <c r="D1" s="197"/>
      <c r="E1" s="197"/>
      <c r="F1" s="197"/>
    </row>
    <row r="2" spans="1:8" x14ac:dyDescent="0.4">
      <c r="A2" s="197"/>
      <c r="B2" s="197"/>
      <c r="C2" s="197"/>
      <c r="D2" s="197"/>
      <c r="E2" s="197"/>
      <c r="F2" s="197"/>
      <c r="H2" s="1"/>
    </row>
    <row r="3" spans="1:8" ht="19.95" customHeight="1" x14ac:dyDescent="0.45">
      <c r="B3" s="141" t="s">
        <v>195</v>
      </c>
      <c r="C3" s="142"/>
      <c r="D3" s="142"/>
      <c r="E3" s="142"/>
      <c r="F3" s="143"/>
    </row>
    <row r="4" spans="1:8" ht="19.95" customHeight="1" x14ac:dyDescent="0.45">
      <c r="B4" s="144" t="str">
        <f>UG</f>
        <v>UNIDADE GESTORA (SIGLA): PR-PA</v>
      </c>
      <c r="C4" s="145"/>
      <c r="D4" s="146"/>
      <c r="E4" s="3" t="s">
        <v>0</v>
      </c>
      <c r="F4" s="130" t="s">
        <v>190</v>
      </c>
      <c r="G4" s="138"/>
    </row>
    <row r="5" spans="1:8" s="5" customFormat="1" ht="19.95" customHeight="1" x14ac:dyDescent="0.4">
      <c r="B5" s="147" t="s">
        <v>1</v>
      </c>
      <c r="C5" s="147"/>
      <c r="D5" s="147"/>
      <c r="E5" s="147"/>
      <c r="F5" s="148"/>
      <c r="G5" s="139"/>
    </row>
    <row r="6" spans="1:8" s="5" customFormat="1" ht="19.95" customHeight="1" x14ac:dyDescent="0.4">
      <c r="B6" s="140" t="s">
        <v>2</v>
      </c>
      <c r="C6" s="140"/>
      <c r="D6" s="149" t="str">
        <f>NUMERO_PROCESSO</f>
        <v>1.23.000.000855/2020-32</v>
      </c>
      <c r="E6" s="149"/>
      <c r="F6" s="150"/>
      <c r="G6" s="139"/>
    </row>
    <row r="7" spans="1:8" s="5" customFormat="1" ht="19.95" customHeight="1" x14ac:dyDescent="0.4">
      <c r="B7" s="151" t="s">
        <v>191</v>
      </c>
      <c r="C7" s="151"/>
      <c r="D7" s="152" t="str">
        <f>MODALIDADE_DE_LICITACAO</f>
        <v>Pregão SRP nº</v>
      </c>
      <c r="E7" s="152"/>
      <c r="F7" s="6" t="str">
        <f>NUMERO_PREGAO</f>
        <v>06/2020</v>
      </c>
      <c r="G7" s="139"/>
    </row>
    <row r="8" spans="1:8" s="7" customFormat="1" ht="19.95" customHeight="1" x14ac:dyDescent="0.45">
      <c r="B8" s="153" t="s">
        <v>3</v>
      </c>
      <c r="C8" s="153"/>
      <c r="D8" s="153"/>
      <c r="E8" s="153"/>
      <c r="F8" s="153"/>
      <c r="G8" s="139"/>
    </row>
    <row r="9" spans="1:8" s="5" customFormat="1" ht="19.95" customHeight="1" x14ac:dyDescent="0.45">
      <c r="B9" s="8" t="s">
        <v>4</v>
      </c>
      <c r="C9" s="140" t="s">
        <v>5</v>
      </c>
      <c r="D9" s="140"/>
      <c r="E9" s="140"/>
      <c r="F9" s="130" t="s">
        <v>190</v>
      </c>
      <c r="G9" s="139"/>
    </row>
    <row r="10" spans="1:8" s="5" customFormat="1" ht="19.95" customHeight="1" x14ac:dyDescent="0.3">
      <c r="B10" s="9" t="s">
        <v>6</v>
      </c>
      <c r="C10" s="10" t="s">
        <v>7</v>
      </c>
      <c r="D10" s="154" t="str">
        <f>IF(LOCAL_DE_EXECUCAO="","",LOCAL_DE_EXECUCAO)</f>
        <v>SEDE PR-PA / JF - Belém</v>
      </c>
      <c r="E10" s="154"/>
      <c r="F10" s="155"/>
      <c r="G10" s="139"/>
    </row>
    <row r="11" spans="1:8" s="5" customFormat="1" ht="19.95" customHeight="1" x14ac:dyDescent="0.4">
      <c r="B11" s="8" t="s">
        <v>8</v>
      </c>
      <c r="C11" s="140" t="s">
        <v>9</v>
      </c>
      <c r="D11" s="140"/>
      <c r="E11" s="140"/>
      <c r="F11" s="11" t="str">
        <f>ACORDO_COLETIVO</f>
        <v>CCT 2020/2021</v>
      </c>
      <c r="G11" s="139"/>
    </row>
    <row r="12" spans="1:8" s="5" customFormat="1" ht="19.95" customHeight="1" x14ac:dyDescent="0.4">
      <c r="B12" s="9" t="s">
        <v>10</v>
      </c>
      <c r="C12" s="154" t="s">
        <v>11</v>
      </c>
      <c r="D12" s="154"/>
      <c r="E12" s="154"/>
      <c r="F12" s="12">
        <f>NUMERO_MESES_EXEC_CONTRATUAL</f>
        <v>12</v>
      </c>
      <c r="G12" s="139"/>
    </row>
    <row r="13" spans="1:8" s="5" customFormat="1" ht="19.95" customHeight="1" x14ac:dyDescent="0.45">
      <c r="B13" s="9" t="s">
        <v>12</v>
      </c>
      <c r="C13" s="159" t="s">
        <v>13</v>
      </c>
      <c r="D13" s="159"/>
      <c r="E13" s="159"/>
      <c r="F13" s="131" t="s">
        <v>190</v>
      </c>
      <c r="G13" s="138"/>
    </row>
    <row r="14" spans="1:8" s="5" customFormat="1" ht="19.95" customHeight="1" x14ac:dyDescent="0.4">
      <c r="B14" s="13"/>
      <c r="C14" s="14"/>
      <c r="D14" s="14"/>
      <c r="E14" s="14"/>
      <c r="F14" s="15"/>
      <c r="G14" s="4"/>
    </row>
    <row r="15" spans="1:8" s="5" customFormat="1" ht="19.95" customHeight="1" x14ac:dyDescent="0.55000000000000004">
      <c r="B15" s="16" t="s">
        <v>14</v>
      </c>
      <c r="C15" s="2"/>
      <c r="D15" s="2"/>
      <c r="E15" s="2"/>
      <c r="F15" s="2"/>
      <c r="G15" s="4"/>
    </row>
    <row r="16" spans="1:8" s="5" customFormat="1" ht="19.95" customHeight="1" x14ac:dyDescent="0.4">
      <c r="B16" s="8">
        <v>1</v>
      </c>
      <c r="C16" s="160" t="s">
        <v>15</v>
      </c>
      <c r="D16" s="160"/>
      <c r="E16" s="161" t="str">
        <f>TIPO_DE_SERVICO</f>
        <v>Vigilância</v>
      </c>
      <c r="F16" s="161"/>
      <c r="G16" s="4"/>
    </row>
    <row r="17" spans="2:7" s="7" customFormat="1" ht="19.95" customHeight="1" x14ac:dyDescent="0.4">
      <c r="B17" s="8">
        <v>2</v>
      </c>
      <c r="C17" s="17" t="s">
        <v>16</v>
      </c>
      <c r="D17" s="162" t="str">
        <f>CBO</f>
        <v>5173-30</v>
      </c>
      <c r="E17" s="163"/>
      <c r="F17" s="164"/>
      <c r="G17" s="4"/>
    </row>
    <row r="18" spans="2:7" s="5" customFormat="1" ht="19.95" customHeight="1" x14ac:dyDescent="0.4">
      <c r="B18" s="8">
        <v>3</v>
      </c>
      <c r="C18" s="18" t="s">
        <v>17</v>
      </c>
      <c r="D18" s="161" t="str">
        <f>CATEGORIA_PROFISSIONAL</f>
        <v>Vigilante</v>
      </c>
      <c r="E18" s="161"/>
      <c r="F18" s="161"/>
      <c r="G18" s="4"/>
    </row>
    <row r="19" spans="2:7" s="5" customFormat="1" ht="19.95" customHeight="1" x14ac:dyDescent="0.4">
      <c r="B19" s="8">
        <v>4</v>
      </c>
      <c r="C19" s="165" t="s">
        <v>18</v>
      </c>
      <c r="D19" s="165"/>
      <c r="E19" s="165"/>
      <c r="F19" s="19">
        <f>DATA_BASE_CATEGORIA</f>
        <v>43831</v>
      </c>
      <c r="G19" s="4"/>
    </row>
    <row r="20" spans="2:7" s="5" customFormat="1" ht="19.95" customHeight="1" x14ac:dyDescent="0.4">
      <c r="B20" s="20"/>
      <c r="C20" s="21"/>
      <c r="D20" s="21"/>
      <c r="E20" s="21"/>
      <c r="F20" s="22"/>
      <c r="G20" s="4"/>
    </row>
    <row r="21" spans="2:7" s="24" customFormat="1" ht="19.95" customHeight="1" x14ac:dyDescent="0.4">
      <c r="B21" s="166" t="s">
        <v>198</v>
      </c>
      <c r="C21" s="166"/>
      <c r="D21" s="166"/>
      <c r="E21" s="166"/>
      <c r="F21" s="166"/>
      <c r="G21" s="23"/>
    </row>
    <row r="22" spans="2:7" ht="19.95" customHeight="1" x14ac:dyDescent="0.45">
      <c r="B22" s="167" t="s">
        <v>19</v>
      </c>
      <c r="C22" s="167"/>
      <c r="D22" s="167"/>
      <c r="E22" s="167"/>
      <c r="F22" s="131" t="s">
        <v>190</v>
      </c>
      <c r="G22" s="81"/>
    </row>
    <row r="23" spans="2:7" ht="25.2" customHeight="1" x14ac:dyDescent="0.4">
      <c r="B23" s="26" t="s">
        <v>20</v>
      </c>
      <c r="E23" s="28"/>
      <c r="F23" s="28"/>
    </row>
    <row r="24" spans="2:7" ht="19.95" customHeight="1" x14ac:dyDescent="0.4">
      <c r="B24" s="9">
        <v>1</v>
      </c>
      <c r="C24" s="168" t="s">
        <v>21</v>
      </c>
      <c r="D24" s="169"/>
      <c r="E24" s="170"/>
      <c r="F24" s="29" t="s">
        <v>22</v>
      </c>
      <c r="G24" s="25"/>
    </row>
    <row r="25" spans="2:7" ht="19.95" customHeight="1" x14ac:dyDescent="0.4">
      <c r="B25" s="9" t="s">
        <v>4</v>
      </c>
      <c r="C25" s="171" t="s">
        <v>23</v>
      </c>
      <c r="D25" s="172"/>
      <c r="E25" s="173"/>
      <c r="F25" s="30">
        <v>0</v>
      </c>
      <c r="G25" s="31"/>
    </row>
    <row r="26" spans="2:7" ht="19.95" customHeight="1" x14ac:dyDescent="0.4">
      <c r="B26" s="9" t="s">
        <v>6</v>
      </c>
      <c r="C26" s="156" t="s">
        <v>24</v>
      </c>
      <c r="D26" s="157"/>
      <c r="E26" s="158"/>
      <c r="F26" s="32">
        <v>0</v>
      </c>
      <c r="G26" s="31"/>
    </row>
    <row r="27" spans="2:7" ht="19.95" customHeight="1" x14ac:dyDescent="0.4">
      <c r="B27" s="9" t="s">
        <v>8</v>
      </c>
      <c r="C27" s="135" t="s">
        <v>196</v>
      </c>
      <c r="D27" s="136"/>
      <c r="E27" s="136"/>
      <c r="F27" s="30">
        <v>0</v>
      </c>
      <c r="G27" s="31"/>
    </row>
    <row r="28" spans="2:7" ht="19.95" customHeight="1" x14ac:dyDescent="0.4">
      <c r="B28" s="9"/>
      <c r="C28" s="135" t="s">
        <v>197</v>
      </c>
      <c r="D28" s="136"/>
      <c r="E28" s="137"/>
      <c r="F28" s="30">
        <v>0</v>
      </c>
      <c r="G28" s="31"/>
    </row>
    <row r="29" spans="2:7" ht="19.95" customHeight="1" x14ac:dyDescent="0.4">
      <c r="B29" s="9"/>
      <c r="C29" s="171" t="str">
        <f>OUTROS_REMUNERACAO_1_DESCRICAO</f>
        <v>DSR - Adicional noturno - 1/6</v>
      </c>
      <c r="D29" s="172"/>
      <c r="E29" s="173"/>
      <c r="F29" s="30">
        <v>0</v>
      </c>
      <c r="G29" s="31"/>
    </row>
    <row r="30" spans="2:7" ht="19.95" customHeight="1" x14ac:dyDescent="0.4">
      <c r="B30" s="9" t="s">
        <v>10</v>
      </c>
      <c r="C30" s="174" t="str">
        <f>OUTROS_REMUNERACAO_2_DESCRICAO</f>
        <v>DSR - Hora noturna reduzida - 1/6</v>
      </c>
      <c r="D30" s="175"/>
      <c r="E30" s="176"/>
      <c r="F30" s="32">
        <v>0</v>
      </c>
      <c r="G30" s="31"/>
    </row>
    <row r="31" spans="2:7" ht="19.95" customHeight="1" x14ac:dyDescent="0.4">
      <c r="B31" s="177" t="s">
        <v>25</v>
      </c>
      <c r="C31" s="178"/>
      <c r="D31" s="178"/>
      <c r="E31" s="179"/>
      <c r="F31" s="33">
        <v>0</v>
      </c>
      <c r="G31" s="31"/>
    </row>
    <row r="32" spans="2:7" ht="19.95" customHeight="1" x14ac:dyDescent="0.4">
      <c r="B32" s="26" t="s">
        <v>26</v>
      </c>
      <c r="E32" s="34"/>
      <c r="F32" s="34"/>
    </row>
    <row r="33" spans="2:8" ht="19.95" customHeight="1" x14ac:dyDescent="0.4">
      <c r="B33" s="26" t="s">
        <v>27</v>
      </c>
      <c r="C33" s="35"/>
      <c r="D33" s="36"/>
      <c r="E33" s="37"/>
      <c r="F33" s="37"/>
    </row>
    <row r="34" spans="2:8" ht="19.95" customHeight="1" x14ac:dyDescent="0.4">
      <c r="B34" s="9" t="s">
        <v>28</v>
      </c>
      <c r="C34" s="177" t="s">
        <v>29</v>
      </c>
      <c r="D34" s="179"/>
      <c r="E34" s="38" t="s">
        <v>30</v>
      </c>
      <c r="F34" s="29" t="s">
        <v>22</v>
      </c>
      <c r="G34" s="25"/>
    </row>
    <row r="35" spans="2:8" ht="19.95" customHeight="1" x14ac:dyDescent="0.4">
      <c r="B35" s="9" t="s">
        <v>4</v>
      </c>
      <c r="C35" s="171" t="s">
        <v>31</v>
      </c>
      <c r="D35" s="172"/>
      <c r="E35" s="39">
        <f>PERC_DEC_TERC</f>
        <v>8.33</v>
      </c>
      <c r="F35" s="40">
        <v>0</v>
      </c>
      <c r="G35" s="31"/>
    </row>
    <row r="36" spans="2:8" s="1" customFormat="1" ht="19.95" customHeight="1" x14ac:dyDescent="0.4">
      <c r="B36" s="41" t="s">
        <v>6</v>
      </c>
      <c r="C36" s="156" t="s">
        <v>32</v>
      </c>
      <c r="D36" s="158"/>
      <c r="E36" s="42">
        <f>PERC_ADIC_FERIAS</f>
        <v>2.78</v>
      </c>
      <c r="F36" s="43">
        <v>0</v>
      </c>
      <c r="G36" s="31"/>
    </row>
    <row r="37" spans="2:8" s="45" customFormat="1" ht="19.95" customHeight="1" x14ac:dyDescent="0.4">
      <c r="B37" s="177" t="s">
        <v>25</v>
      </c>
      <c r="C37" s="178"/>
      <c r="D37" s="178"/>
      <c r="E37" s="179"/>
      <c r="F37" s="44">
        <v>0</v>
      </c>
      <c r="G37" s="31"/>
    </row>
    <row r="38" spans="2:8" s="45" customFormat="1" ht="37.200000000000003" customHeight="1" x14ac:dyDescent="0.4">
      <c r="B38" s="180" t="s">
        <v>33</v>
      </c>
      <c r="C38" s="180"/>
      <c r="D38" s="180"/>
      <c r="E38" s="180"/>
      <c r="F38" s="180"/>
      <c r="G38" s="46"/>
    </row>
    <row r="39" spans="2:8" s="45" customFormat="1" ht="37.200000000000003" customHeight="1" x14ac:dyDescent="0.4">
      <c r="B39" s="9" t="s">
        <v>34</v>
      </c>
      <c r="C39" s="181" t="s">
        <v>35</v>
      </c>
      <c r="D39" s="182"/>
      <c r="E39" s="38" t="s">
        <v>30</v>
      </c>
      <c r="F39" s="29" t="s">
        <v>22</v>
      </c>
      <c r="G39" s="25"/>
    </row>
    <row r="40" spans="2:8" ht="19.95" customHeight="1" x14ac:dyDescent="0.4">
      <c r="B40" s="9" t="s">
        <v>4</v>
      </c>
      <c r="C40" s="171" t="s">
        <v>36</v>
      </c>
      <c r="D40" s="172"/>
      <c r="E40" s="39">
        <f>PERC_INSS</f>
        <v>20</v>
      </c>
      <c r="F40" s="40">
        <v>0</v>
      </c>
      <c r="G40" s="31"/>
    </row>
    <row r="41" spans="2:8" s="5" customFormat="1" ht="19.95" customHeight="1" x14ac:dyDescent="0.4">
      <c r="B41" s="41" t="s">
        <v>6</v>
      </c>
      <c r="C41" s="156" t="s">
        <v>37</v>
      </c>
      <c r="D41" s="158"/>
      <c r="E41" s="47">
        <f>PERC_SAL_EDUCACAO</f>
        <v>2.5</v>
      </c>
      <c r="F41" s="43">
        <v>0</v>
      </c>
      <c r="G41" s="31"/>
      <c r="H41" s="2"/>
    </row>
    <row r="42" spans="2:8" s="5" customFormat="1" ht="19.95" customHeight="1" x14ac:dyDescent="0.4">
      <c r="B42" s="41" t="s">
        <v>8</v>
      </c>
      <c r="C42" s="171" t="s">
        <v>38</v>
      </c>
      <c r="D42" s="172"/>
      <c r="E42" s="39">
        <f>PERC_RAT</f>
        <v>6</v>
      </c>
      <c r="F42" s="40">
        <v>0</v>
      </c>
      <c r="G42" s="31"/>
      <c r="H42" s="2"/>
    </row>
    <row r="43" spans="2:8" s="5" customFormat="1" ht="19.95" customHeight="1" x14ac:dyDescent="0.4">
      <c r="B43" s="41" t="s">
        <v>10</v>
      </c>
      <c r="C43" s="156" t="s">
        <v>39</v>
      </c>
      <c r="D43" s="158"/>
      <c r="E43" s="42">
        <f>PERC_SESC</f>
        <v>1.5</v>
      </c>
      <c r="F43" s="43">
        <v>0</v>
      </c>
      <c r="G43" s="31"/>
      <c r="H43" s="2"/>
    </row>
    <row r="44" spans="2:8" s="5" customFormat="1" ht="19.95" customHeight="1" x14ac:dyDescent="0.4">
      <c r="B44" s="41" t="s">
        <v>12</v>
      </c>
      <c r="C44" s="171" t="s">
        <v>40</v>
      </c>
      <c r="D44" s="172"/>
      <c r="E44" s="39">
        <f>PERC_SENAC</f>
        <v>1</v>
      </c>
      <c r="F44" s="40">
        <v>0</v>
      </c>
      <c r="G44" s="31"/>
      <c r="H44" s="2"/>
    </row>
    <row r="45" spans="2:8" s="7" customFormat="1" ht="19.95" customHeight="1" x14ac:dyDescent="0.4">
      <c r="B45" s="41" t="s">
        <v>41</v>
      </c>
      <c r="C45" s="156" t="s">
        <v>42</v>
      </c>
      <c r="D45" s="158"/>
      <c r="E45" s="47">
        <f>PERC_SEBRAE</f>
        <v>0.6</v>
      </c>
      <c r="F45" s="43">
        <v>0</v>
      </c>
      <c r="G45" s="31"/>
      <c r="H45" s="2"/>
    </row>
    <row r="46" spans="2:8" s="7" customFormat="1" ht="19.95" customHeight="1" x14ac:dyDescent="0.4">
      <c r="B46" s="41" t="s">
        <v>43</v>
      </c>
      <c r="C46" s="171" t="s">
        <v>44</v>
      </c>
      <c r="D46" s="172"/>
      <c r="E46" s="39">
        <f>PERC_INCRA</f>
        <v>0.2</v>
      </c>
      <c r="F46" s="40">
        <v>0</v>
      </c>
      <c r="G46" s="31"/>
      <c r="H46" s="2"/>
    </row>
    <row r="47" spans="2:8" ht="19.95" customHeight="1" x14ac:dyDescent="0.4">
      <c r="B47" s="41" t="s">
        <v>45</v>
      </c>
      <c r="C47" s="156" t="s">
        <v>46</v>
      </c>
      <c r="D47" s="158"/>
      <c r="E47" s="47">
        <f>PERC_FGTS</f>
        <v>8</v>
      </c>
      <c r="F47" s="43">
        <v>0</v>
      </c>
      <c r="G47" s="31"/>
    </row>
    <row r="48" spans="2:8" ht="19.95" customHeight="1" x14ac:dyDescent="0.4">
      <c r="B48" s="177" t="s">
        <v>25</v>
      </c>
      <c r="C48" s="178"/>
      <c r="D48" s="178"/>
      <c r="E48" s="179"/>
      <c r="F48" s="48">
        <v>0</v>
      </c>
      <c r="G48" s="31"/>
    </row>
    <row r="49" spans="2:7" ht="27" customHeight="1" x14ac:dyDescent="0.4">
      <c r="B49" s="26" t="s">
        <v>47</v>
      </c>
      <c r="C49" s="7"/>
      <c r="D49" s="7"/>
      <c r="E49" s="7"/>
      <c r="F49" s="7"/>
    </row>
    <row r="50" spans="2:7" ht="19.95" customHeight="1" x14ac:dyDescent="0.4">
      <c r="B50" s="9" t="s">
        <v>48</v>
      </c>
      <c r="C50" s="177" t="s">
        <v>49</v>
      </c>
      <c r="D50" s="178"/>
      <c r="E50" s="179"/>
      <c r="F50" s="29" t="s">
        <v>22</v>
      </c>
      <c r="G50" s="25"/>
    </row>
    <row r="51" spans="2:7" ht="19.95" customHeight="1" x14ac:dyDescent="0.4">
      <c r="B51" s="8" t="s">
        <v>4</v>
      </c>
      <c r="C51" s="171" t="s">
        <v>50</v>
      </c>
      <c r="D51" s="172"/>
      <c r="E51" s="173"/>
      <c r="F51" s="40">
        <v>0</v>
      </c>
      <c r="G51" s="31"/>
    </row>
    <row r="52" spans="2:7" s="45" customFormat="1" ht="19.95" customHeight="1" x14ac:dyDescent="0.4">
      <c r="B52" s="8" t="s">
        <v>6</v>
      </c>
      <c r="C52" s="156" t="s">
        <v>51</v>
      </c>
      <c r="D52" s="157"/>
      <c r="E52" s="158"/>
      <c r="F52" s="43">
        <v>0</v>
      </c>
      <c r="G52" s="31"/>
    </row>
    <row r="53" spans="2:7" s="45" customFormat="1" ht="19.95" customHeight="1" x14ac:dyDescent="0.4">
      <c r="B53" s="8" t="s">
        <v>8</v>
      </c>
      <c r="C53" s="171" t="str">
        <f>OUTROS_BENEFICIOS_1_DESCRICAO</f>
        <v>Auxílio saúde</v>
      </c>
      <c r="D53" s="172"/>
      <c r="E53" s="173"/>
      <c r="F53" s="40">
        <v>0</v>
      </c>
      <c r="G53" s="31"/>
    </row>
    <row r="54" spans="2:7" s="45" customFormat="1" ht="19.95" customHeight="1" x14ac:dyDescent="0.4">
      <c r="B54" s="8" t="s">
        <v>10</v>
      </c>
      <c r="C54" s="174" t="str">
        <f>OUTROS_BENEFICIOS_2_DESCRICAO</f>
        <v>Auxílio morte/funeral</v>
      </c>
      <c r="D54" s="175"/>
      <c r="E54" s="176"/>
      <c r="F54" s="43">
        <v>0</v>
      </c>
      <c r="G54" s="31"/>
    </row>
    <row r="55" spans="2:7" s="45" customFormat="1" ht="19.95" customHeight="1" x14ac:dyDescent="0.4">
      <c r="B55" s="8" t="s">
        <v>12</v>
      </c>
      <c r="C55" s="171" t="str">
        <f>OUTROS_BENEFICIOS_3_DESCRICAO</f>
        <v>Seguro de vida</v>
      </c>
      <c r="D55" s="172"/>
      <c r="E55" s="173"/>
      <c r="F55" s="40">
        <v>0</v>
      </c>
      <c r="G55" s="31"/>
    </row>
    <row r="56" spans="2:7" s="45" customFormat="1" ht="19.95" customHeight="1" x14ac:dyDescent="0.4">
      <c r="B56" s="177" t="s">
        <v>25</v>
      </c>
      <c r="C56" s="178"/>
      <c r="D56" s="178"/>
      <c r="E56" s="179"/>
      <c r="F56" s="33">
        <v>0</v>
      </c>
      <c r="G56" s="31"/>
    </row>
    <row r="57" spans="2:7" s="45" customFormat="1" ht="27" customHeight="1" x14ac:dyDescent="0.4">
      <c r="B57" s="26" t="s">
        <v>52</v>
      </c>
      <c r="C57" s="35"/>
      <c r="D57" s="36"/>
      <c r="E57" s="37"/>
      <c r="F57" s="37"/>
      <c r="G57" s="46"/>
    </row>
    <row r="58" spans="2:7" s="45" customFormat="1" ht="19.95" customHeight="1" x14ac:dyDescent="0.4">
      <c r="B58" s="9">
        <v>3</v>
      </c>
      <c r="C58" s="167" t="s">
        <v>53</v>
      </c>
      <c r="D58" s="167"/>
      <c r="E58" s="38" t="s">
        <v>30</v>
      </c>
      <c r="F58" s="29" t="s">
        <v>22</v>
      </c>
      <c r="G58" s="25"/>
    </row>
    <row r="59" spans="2:7" s="45" customFormat="1" ht="19.95" customHeight="1" x14ac:dyDescent="0.4">
      <c r="B59" s="9" t="s">
        <v>4</v>
      </c>
      <c r="C59" s="184" t="s">
        <v>54</v>
      </c>
      <c r="D59" s="184"/>
      <c r="E59" s="39">
        <f>PERC_AVISO_PREVIO_IND</f>
        <v>0.28999999999999998</v>
      </c>
      <c r="F59" s="40">
        <v>0</v>
      </c>
      <c r="G59" s="31"/>
    </row>
    <row r="60" spans="2:7" s="45" customFormat="1" ht="19.95" customHeight="1" x14ac:dyDescent="0.4">
      <c r="B60" s="41" t="s">
        <v>6</v>
      </c>
      <c r="C60" s="185" t="s">
        <v>55</v>
      </c>
      <c r="D60" s="185"/>
      <c r="E60" s="47">
        <f>PERC_AVISO_PREVIO_TRAB</f>
        <v>1.1599999999999999</v>
      </c>
      <c r="F60" s="43">
        <v>0</v>
      </c>
      <c r="G60" s="31"/>
    </row>
    <row r="61" spans="2:7" s="5" customFormat="1" ht="19.95" customHeight="1" x14ac:dyDescent="0.25">
      <c r="B61" s="41" t="s">
        <v>8</v>
      </c>
      <c r="C61" s="184" t="s">
        <v>56</v>
      </c>
      <c r="D61" s="184"/>
      <c r="E61" s="39">
        <f>PERC_MULTA_FGTS_AV_PREV_TRAB</f>
        <v>0.04</v>
      </c>
      <c r="F61" s="40">
        <v>0</v>
      </c>
      <c r="G61" s="31"/>
    </row>
    <row r="62" spans="2:7" s="5" customFormat="1" ht="19.95" customHeight="1" x14ac:dyDescent="0.4">
      <c r="B62" s="177" t="s">
        <v>25</v>
      </c>
      <c r="C62" s="178"/>
      <c r="D62" s="178"/>
      <c r="E62" s="179"/>
      <c r="F62" s="44">
        <v>0</v>
      </c>
      <c r="G62" s="31"/>
    </row>
    <row r="63" spans="2:7" s="5" customFormat="1" ht="19.95" customHeight="1" x14ac:dyDescent="0.4">
      <c r="B63" s="26" t="s">
        <v>57</v>
      </c>
      <c r="C63" s="35"/>
      <c r="D63" s="36"/>
      <c r="E63" s="2"/>
      <c r="F63" s="2"/>
      <c r="G63" s="4"/>
    </row>
    <row r="64" spans="2:7" s="5" customFormat="1" ht="28.8" customHeight="1" x14ac:dyDescent="0.4">
      <c r="B64" s="26" t="s">
        <v>58</v>
      </c>
      <c r="C64" s="35"/>
      <c r="D64" s="36"/>
      <c r="E64" s="37"/>
      <c r="F64" s="37"/>
      <c r="G64" s="4"/>
    </row>
    <row r="65" spans="2:7" s="5" customFormat="1" ht="19.95" customHeight="1" x14ac:dyDescent="0.25">
      <c r="B65" s="9" t="s">
        <v>59</v>
      </c>
      <c r="C65" s="186" t="s">
        <v>60</v>
      </c>
      <c r="D65" s="186"/>
      <c r="E65" s="38" t="s">
        <v>30</v>
      </c>
      <c r="F65" s="29" t="s">
        <v>22</v>
      </c>
      <c r="G65" s="25"/>
    </row>
    <row r="66" spans="2:7" s="5" customFormat="1" ht="19.95" customHeight="1" x14ac:dyDescent="0.25">
      <c r="B66" s="41" t="s">
        <v>4</v>
      </c>
      <c r="C66" s="183" t="s">
        <v>61</v>
      </c>
      <c r="D66" s="183"/>
      <c r="E66" s="39">
        <f>PERC_SUBSTITUTO_FERIAS</f>
        <v>8.33</v>
      </c>
      <c r="F66" s="40">
        <v>0</v>
      </c>
      <c r="G66" s="31"/>
    </row>
    <row r="67" spans="2:7" s="5" customFormat="1" ht="19.95" customHeight="1" x14ac:dyDescent="0.25">
      <c r="B67" s="41" t="s">
        <v>6</v>
      </c>
      <c r="C67" s="187" t="s">
        <v>62</v>
      </c>
      <c r="D67" s="187"/>
      <c r="E67" s="47">
        <f>PERC_SUBSTITUTO_AUSENCIAS_LEGAIS</f>
        <v>2.2200000000000002</v>
      </c>
      <c r="F67" s="43">
        <v>0</v>
      </c>
      <c r="G67" s="31"/>
    </row>
    <row r="68" spans="2:7" s="5" customFormat="1" ht="19.95" customHeight="1" x14ac:dyDescent="0.25">
      <c r="B68" s="41" t="s">
        <v>8</v>
      </c>
      <c r="C68" s="183" t="s">
        <v>63</v>
      </c>
      <c r="D68" s="183"/>
      <c r="E68" s="39">
        <f>PERC_SUBSTITUTO_LICENCA_PATERNIDADE</f>
        <v>7.0000000000000007E-2</v>
      </c>
      <c r="F68" s="40">
        <v>0</v>
      </c>
      <c r="G68" s="31"/>
    </row>
    <row r="69" spans="2:7" s="5" customFormat="1" ht="19.95" customHeight="1" x14ac:dyDescent="0.25">
      <c r="B69" s="41" t="s">
        <v>10</v>
      </c>
      <c r="C69" s="187" t="s">
        <v>64</v>
      </c>
      <c r="D69" s="187"/>
      <c r="E69" s="47">
        <f>PERC_SUBSTITUTO_ACID_TRAB</f>
        <v>0.02</v>
      </c>
      <c r="F69" s="43">
        <v>0</v>
      </c>
      <c r="G69" s="31"/>
    </row>
    <row r="70" spans="2:7" s="5" customFormat="1" ht="19.95" customHeight="1" x14ac:dyDescent="0.25">
      <c r="B70" s="41" t="s">
        <v>12</v>
      </c>
      <c r="C70" s="183" t="s">
        <v>65</v>
      </c>
      <c r="D70" s="183"/>
      <c r="E70" s="39">
        <f>PERC_SUBSTITUTO_AFAST_MATERN</f>
        <v>0.04</v>
      </c>
      <c r="F70" s="40">
        <v>0</v>
      </c>
      <c r="G70" s="31"/>
    </row>
    <row r="71" spans="2:7" s="5" customFormat="1" ht="19.95" customHeight="1" x14ac:dyDescent="0.25">
      <c r="B71" s="41" t="s">
        <v>41</v>
      </c>
      <c r="C71" s="189" t="str">
        <f>OUTRAS_AUSENCIAS_DESCRICAO</f>
        <v>Outras Ausências (Especificar - em %)</v>
      </c>
      <c r="D71" s="187"/>
      <c r="E71" s="49">
        <f>PERC_SUBSTITUTO_OUTRAS_AUSENCIAS</f>
        <v>0</v>
      </c>
      <c r="F71" s="43">
        <v>0</v>
      </c>
      <c r="G71" s="31"/>
    </row>
    <row r="72" spans="2:7" s="5" customFormat="1" ht="19.95" customHeight="1" x14ac:dyDescent="0.4">
      <c r="B72" s="177" t="s">
        <v>25</v>
      </c>
      <c r="C72" s="178"/>
      <c r="D72" s="178"/>
      <c r="E72" s="179"/>
      <c r="F72" s="44">
        <v>0</v>
      </c>
      <c r="G72" s="31"/>
    </row>
    <row r="73" spans="2:7" s="5" customFormat="1" ht="30.6" customHeight="1" x14ac:dyDescent="0.4">
      <c r="B73" s="26" t="s">
        <v>66</v>
      </c>
      <c r="C73" s="35"/>
      <c r="D73" s="36"/>
      <c r="E73" s="37"/>
      <c r="F73" s="37"/>
      <c r="G73" s="4"/>
    </row>
    <row r="74" spans="2:7" s="5" customFormat="1" ht="19.95" customHeight="1" x14ac:dyDescent="0.25">
      <c r="B74" s="9" t="s">
        <v>67</v>
      </c>
      <c r="C74" s="167" t="s">
        <v>68</v>
      </c>
      <c r="D74" s="167"/>
      <c r="E74" s="167"/>
      <c r="F74" s="29" t="s">
        <v>22</v>
      </c>
      <c r="G74" s="25"/>
    </row>
    <row r="75" spans="2:7" s="5" customFormat="1" ht="19.95" customHeight="1" x14ac:dyDescent="0.25">
      <c r="B75" s="9" t="s">
        <v>4</v>
      </c>
      <c r="C75" s="183" t="s">
        <v>69</v>
      </c>
      <c r="D75" s="183"/>
      <c r="E75" s="183"/>
      <c r="F75" s="50">
        <v>0</v>
      </c>
      <c r="G75" s="31"/>
    </row>
    <row r="76" spans="2:7" s="5" customFormat="1" ht="19.95" customHeight="1" x14ac:dyDescent="0.4">
      <c r="B76" s="167" t="s">
        <v>25</v>
      </c>
      <c r="C76" s="167"/>
      <c r="D76" s="167"/>
      <c r="E76" s="167"/>
      <c r="F76" s="44">
        <v>0</v>
      </c>
      <c r="G76" s="31"/>
    </row>
    <row r="77" spans="2:7" ht="29.4" customHeight="1" x14ac:dyDescent="0.4">
      <c r="B77" s="26" t="s">
        <v>70</v>
      </c>
      <c r="C77" s="35"/>
      <c r="D77" s="35"/>
      <c r="E77" s="37"/>
      <c r="F77" s="37"/>
    </row>
    <row r="78" spans="2:7" ht="19.95" customHeight="1" x14ac:dyDescent="0.4">
      <c r="B78" s="51">
        <v>5</v>
      </c>
      <c r="C78" s="190" t="s">
        <v>71</v>
      </c>
      <c r="D78" s="190"/>
      <c r="E78" s="190"/>
      <c r="F78" s="52" t="s">
        <v>22</v>
      </c>
      <c r="G78" s="25"/>
    </row>
    <row r="79" spans="2:7" ht="19.95" customHeight="1" x14ac:dyDescent="0.4">
      <c r="B79" s="53" t="s">
        <v>4</v>
      </c>
      <c r="C79" s="191" t="s">
        <v>72</v>
      </c>
      <c r="D79" s="191"/>
      <c r="E79" s="191"/>
      <c r="F79" s="54">
        <v>0</v>
      </c>
      <c r="G79" s="31"/>
    </row>
    <row r="80" spans="2:7" ht="19.95" customHeight="1" x14ac:dyDescent="0.4">
      <c r="B80" s="53" t="s">
        <v>6</v>
      </c>
      <c r="C80" s="192" t="s">
        <v>73</v>
      </c>
      <c r="D80" s="192"/>
      <c r="E80" s="192"/>
      <c r="F80" s="55">
        <v>0</v>
      </c>
      <c r="G80" s="31"/>
    </row>
    <row r="81" spans="2:8" ht="19.95" customHeight="1" x14ac:dyDescent="0.4">
      <c r="B81" s="53" t="s">
        <v>8</v>
      </c>
      <c r="C81" s="191" t="s">
        <v>74</v>
      </c>
      <c r="D81" s="191"/>
      <c r="E81" s="191"/>
      <c r="F81" s="54">
        <v>0</v>
      </c>
      <c r="G81" s="31"/>
    </row>
    <row r="82" spans="2:8" ht="19.95" customHeight="1" x14ac:dyDescent="0.4">
      <c r="B82" s="53" t="s">
        <v>10</v>
      </c>
      <c r="C82" s="193" t="str">
        <f>OUTROS_INSUMOS_DESCRICAO</f>
        <v>Outros (Especificar)</v>
      </c>
      <c r="D82" s="192"/>
      <c r="E82" s="192"/>
      <c r="F82" s="55">
        <v>0</v>
      </c>
      <c r="G82" s="31"/>
    </row>
    <row r="83" spans="2:8" ht="19.95" customHeight="1" x14ac:dyDescent="0.4">
      <c r="B83" s="194" t="s">
        <v>25</v>
      </c>
      <c r="C83" s="194"/>
      <c r="D83" s="194"/>
      <c r="E83" s="194"/>
      <c r="F83" s="56">
        <v>0</v>
      </c>
      <c r="G83" s="31"/>
    </row>
    <row r="84" spans="2:8" ht="36.6" customHeight="1" x14ac:dyDescent="0.4">
      <c r="B84" s="188" t="s">
        <v>75</v>
      </c>
      <c r="C84" s="188"/>
      <c r="D84" s="188"/>
      <c r="E84" s="188"/>
      <c r="F84" s="188"/>
    </row>
    <row r="85" spans="2:8" ht="19.95" customHeight="1" x14ac:dyDescent="0.4">
      <c r="B85" s="9">
        <v>6</v>
      </c>
      <c r="C85" s="167" t="s">
        <v>76</v>
      </c>
      <c r="D85" s="167"/>
      <c r="E85" s="38" t="s">
        <v>30</v>
      </c>
      <c r="F85" s="29" t="s">
        <v>22</v>
      </c>
      <c r="G85" s="25"/>
    </row>
    <row r="86" spans="2:8" ht="19.95" customHeight="1" x14ac:dyDescent="0.4">
      <c r="B86" s="9" t="s">
        <v>4</v>
      </c>
      <c r="C86" s="183" t="s">
        <v>77</v>
      </c>
      <c r="D86" s="183"/>
      <c r="E86" s="57">
        <f>PERC_CUSTOS_INDIRETOS</f>
        <v>4.8499999999999996</v>
      </c>
      <c r="F86" s="40">
        <v>0</v>
      </c>
      <c r="G86" s="31"/>
    </row>
    <row r="87" spans="2:8" ht="19.95" customHeight="1" x14ac:dyDescent="0.4">
      <c r="B87" s="41" t="s">
        <v>6</v>
      </c>
      <c r="C87" s="187" t="s">
        <v>78</v>
      </c>
      <c r="D87" s="187"/>
      <c r="E87" s="58">
        <f>PERC_LUCRO</f>
        <v>5.45</v>
      </c>
      <c r="F87" s="43">
        <v>0</v>
      </c>
      <c r="G87" s="31"/>
    </row>
    <row r="88" spans="2:8" ht="19.95" customHeight="1" x14ac:dyDescent="0.4">
      <c r="B88" s="41" t="s">
        <v>8</v>
      </c>
      <c r="C88" s="183" t="s">
        <v>79</v>
      </c>
      <c r="D88" s="183"/>
      <c r="E88" s="57">
        <f>SUM(E89:E91)</f>
        <v>8.65</v>
      </c>
      <c r="F88" s="40">
        <v>0</v>
      </c>
      <c r="G88" s="31"/>
    </row>
    <row r="89" spans="2:8" ht="19.95" customHeight="1" x14ac:dyDescent="0.4">
      <c r="B89" s="59" t="s">
        <v>80</v>
      </c>
      <c r="C89" s="195" t="s">
        <v>81</v>
      </c>
      <c r="D89" s="195"/>
      <c r="E89" s="60">
        <f>PERC_PIS</f>
        <v>0.65</v>
      </c>
      <c r="F89" s="61">
        <v>0</v>
      </c>
      <c r="G89" s="31"/>
    </row>
    <row r="90" spans="2:8" ht="19.95" customHeight="1" x14ac:dyDescent="0.4">
      <c r="B90" s="59" t="s">
        <v>82</v>
      </c>
      <c r="C90" s="196" t="s">
        <v>83</v>
      </c>
      <c r="D90" s="196"/>
      <c r="E90" s="62">
        <f>PERC_COFINS</f>
        <v>3</v>
      </c>
      <c r="F90" s="63">
        <v>0</v>
      </c>
      <c r="G90" s="31"/>
    </row>
    <row r="91" spans="2:8" s="64" customFormat="1" ht="19.95" customHeight="1" x14ac:dyDescent="0.4">
      <c r="B91" s="59" t="s">
        <v>84</v>
      </c>
      <c r="C91" s="195" t="s">
        <v>85</v>
      </c>
      <c r="D91" s="195"/>
      <c r="E91" s="60">
        <f>PERC_ISS</f>
        <v>5</v>
      </c>
      <c r="F91" s="61">
        <v>0</v>
      </c>
      <c r="G91" s="31"/>
      <c r="H91" s="2"/>
    </row>
    <row r="92" spans="2:8" s="64" customFormat="1" ht="19.95" customHeight="1" x14ac:dyDescent="0.4">
      <c r="B92" s="177" t="s">
        <v>25</v>
      </c>
      <c r="C92" s="178"/>
      <c r="D92" s="178"/>
      <c r="E92" s="179"/>
      <c r="F92" s="65">
        <v>0</v>
      </c>
      <c r="G92" s="31"/>
    </row>
    <row r="93" spans="2:8" s="64" customFormat="1" ht="26.4" customHeight="1" x14ac:dyDescent="0.4">
      <c r="B93" s="188" t="s">
        <v>86</v>
      </c>
      <c r="C93" s="188"/>
      <c r="D93" s="188"/>
      <c r="E93" s="188"/>
      <c r="F93" s="188"/>
      <c r="G93" s="66"/>
    </row>
    <row r="94" spans="2:8" s="64" customFormat="1" ht="19.95" customHeight="1" x14ac:dyDescent="0.4">
      <c r="B94" s="67" t="s">
        <v>4</v>
      </c>
      <c r="C94" s="171" t="str">
        <f>'[1]INSERÇÃO-DE-DADOS'!C92:E92</f>
        <v>Dia do Vigilante - Clausula 82ª CCT - Jornada 12x36 diurno</v>
      </c>
      <c r="D94" s="172"/>
      <c r="E94" s="173"/>
      <c r="F94" s="30">
        <v>0</v>
      </c>
      <c r="G94" s="31"/>
    </row>
    <row r="95" spans="2:8" s="64" customFormat="1" ht="36.6" customHeight="1" x14ac:dyDescent="0.4">
      <c r="B95" s="68" t="s">
        <v>87</v>
      </c>
      <c r="C95" s="69"/>
      <c r="D95" s="69"/>
      <c r="E95" s="69"/>
      <c r="F95" s="70"/>
      <c r="G95" s="66"/>
    </row>
    <row r="96" spans="2:8" s="72" customFormat="1" ht="19.95" customHeight="1" x14ac:dyDescent="0.4">
      <c r="B96" s="41" t="s">
        <v>88</v>
      </c>
      <c r="C96" s="199" t="s">
        <v>89</v>
      </c>
      <c r="D96" s="200"/>
      <c r="E96" s="201"/>
      <c r="F96" s="29" t="s">
        <v>90</v>
      </c>
      <c r="G96" s="25"/>
      <c r="H96" s="71"/>
    </row>
    <row r="97" spans="2:8" s="64" customFormat="1" ht="19.95" customHeight="1" x14ac:dyDescent="0.4">
      <c r="B97" s="9">
        <v>1</v>
      </c>
      <c r="C97" s="183" t="s">
        <v>21</v>
      </c>
      <c r="D97" s="183"/>
      <c r="E97" s="183"/>
      <c r="F97" s="40">
        <v>0</v>
      </c>
      <c r="G97" s="31"/>
    </row>
    <row r="98" spans="2:8" s="73" customFormat="1" ht="19.95" customHeight="1" x14ac:dyDescent="0.4">
      <c r="B98" s="41">
        <v>2</v>
      </c>
      <c r="C98" s="187" t="s">
        <v>91</v>
      </c>
      <c r="D98" s="187"/>
      <c r="E98" s="187"/>
      <c r="F98" s="43">
        <v>0</v>
      </c>
      <c r="G98" s="31"/>
    </row>
    <row r="99" spans="2:8" s="73" customFormat="1" ht="19.95" customHeight="1" x14ac:dyDescent="0.4">
      <c r="B99" s="41">
        <v>3</v>
      </c>
      <c r="C99" s="183" t="s">
        <v>53</v>
      </c>
      <c r="D99" s="183"/>
      <c r="E99" s="183"/>
      <c r="F99" s="40">
        <v>0</v>
      </c>
      <c r="G99" s="31"/>
    </row>
    <row r="100" spans="2:8" s="73" customFormat="1" ht="19.95" customHeight="1" x14ac:dyDescent="0.4">
      <c r="B100" s="41">
        <v>4</v>
      </c>
      <c r="C100" s="187" t="s">
        <v>92</v>
      </c>
      <c r="D100" s="187"/>
      <c r="E100" s="187"/>
      <c r="F100" s="43">
        <v>0</v>
      </c>
      <c r="G100" s="31"/>
    </row>
    <row r="101" spans="2:8" s="73" customFormat="1" ht="19.95" customHeight="1" x14ac:dyDescent="0.4">
      <c r="B101" s="41">
        <v>5</v>
      </c>
      <c r="C101" s="183" t="s">
        <v>71</v>
      </c>
      <c r="D101" s="183"/>
      <c r="E101" s="183"/>
      <c r="F101" s="40">
        <v>0</v>
      </c>
      <c r="G101" s="31"/>
    </row>
    <row r="102" spans="2:8" s="73" customFormat="1" ht="19.95" customHeight="1" x14ac:dyDescent="0.4">
      <c r="B102" s="41">
        <v>6</v>
      </c>
      <c r="C102" s="187" t="s">
        <v>76</v>
      </c>
      <c r="D102" s="187"/>
      <c r="E102" s="187"/>
      <c r="F102" s="43">
        <v>0</v>
      </c>
      <c r="G102" s="31"/>
    </row>
    <row r="103" spans="2:8" s="73" customFormat="1" ht="19.95" customHeight="1" x14ac:dyDescent="0.4">
      <c r="B103" s="41">
        <v>7</v>
      </c>
      <c r="C103" s="198" t="str">
        <f>C94</f>
        <v>Dia do Vigilante - Clausula 82ª CCT - Jornada 12x36 diurno</v>
      </c>
      <c r="D103" s="183"/>
      <c r="E103" s="183"/>
      <c r="F103" s="40">
        <v>0</v>
      </c>
      <c r="G103" s="31"/>
    </row>
    <row r="104" spans="2:8" ht="28.2" customHeight="1" x14ac:dyDescent="0.4">
      <c r="B104" s="186" t="s">
        <v>93</v>
      </c>
      <c r="C104" s="186"/>
      <c r="D104" s="186"/>
      <c r="E104" s="186"/>
      <c r="F104" s="65">
        <v>0</v>
      </c>
      <c r="G104" s="31"/>
      <c r="H104" s="74"/>
    </row>
    <row r="105" spans="2:8" ht="31.8" customHeight="1" x14ac:dyDescent="0.4">
      <c r="B105" s="186" t="s">
        <v>94</v>
      </c>
      <c r="C105" s="186"/>
      <c r="D105" s="186"/>
      <c r="E105" s="186"/>
      <c r="F105" s="65">
        <v>0</v>
      </c>
      <c r="G105" s="31"/>
    </row>
  </sheetData>
  <mergeCells count="92">
    <mergeCell ref="B104:E104"/>
    <mergeCell ref="B105:E105"/>
    <mergeCell ref="A1:F2"/>
    <mergeCell ref="C98:E98"/>
    <mergeCell ref="C99:E99"/>
    <mergeCell ref="C100:E100"/>
    <mergeCell ref="C101:E101"/>
    <mergeCell ref="C102:E102"/>
    <mergeCell ref="C103:E103"/>
    <mergeCell ref="C91:D91"/>
    <mergeCell ref="B92:E92"/>
    <mergeCell ref="B93:F93"/>
    <mergeCell ref="C94:E94"/>
    <mergeCell ref="C96:E96"/>
    <mergeCell ref="C97:E97"/>
    <mergeCell ref="C85:D85"/>
    <mergeCell ref="C86:D86"/>
    <mergeCell ref="C87:D87"/>
    <mergeCell ref="C88:D88"/>
    <mergeCell ref="C89:D89"/>
    <mergeCell ref="C90:D90"/>
    <mergeCell ref="B84:F84"/>
    <mergeCell ref="C71:D71"/>
    <mergeCell ref="B72:E72"/>
    <mergeCell ref="C74:E74"/>
    <mergeCell ref="C75:E75"/>
    <mergeCell ref="B76:E76"/>
    <mergeCell ref="C78:E78"/>
    <mergeCell ref="C79:E79"/>
    <mergeCell ref="C80:E80"/>
    <mergeCell ref="C81:E81"/>
    <mergeCell ref="C82:E82"/>
    <mergeCell ref="B83:E83"/>
    <mergeCell ref="C70:D70"/>
    <mergeCell ref="B56:E56"/>
    <mergeCell ref="C58:D58"/>
    <mergeCell ref="C59:D59"/>
    <mergeCell ref="C60:D60"/>
    <mergeCell ref="C61:D61"/>
    <mergeCell ref="B62:E62"/>
    <mergeCell ref="C65:D65"/>
    <mergeCell ref="C66:D66"/>
    <mergeCell ref="C67:D67"/>
    <mergeCell ref="C68:D68"/>
    <mergeCell ref="C69:D69"/>
    <mergeCell ref="C55:E55"/>
    <mergeCell ref="C43:D43"/>
    <mergeCell ref="C44:D44"/>
    <mergeCell ref="C45:D45"/>
    <mergeCell ref="C46:D46"/>
    <mergeCell ref="C47:D47"/>
    <mergeCell ref="B48:E48"/>
    <mergeCell ref="C50:E50"/>
    <mergeCell ref="C51:E51"/>
    <mergeCell ref="C52:E52"/>
    <mergeCell ref="C53:E53"/>
    <mergeCell ref="C54:E54"/>
    <mergeCell ref="C42:D42"/>
    <mergeCell ref="C29:E29"/>
    <mergeCell ref="C30:E30"/>
    <mergeCell ref="B31:E31"/>
    <mergeCell ref="C34:D34"/>
    <mergeCell ref="C35:D35"/>
    <mergeCell ref="C36:D36"/>
    <mergeCell ref="B37:E37"/>
    <mergeCell ref="B38:F38"/>
    <mergeCell ref="C39:D39"/>
    <mergeCell ref="C40:D40"/>
    <mergeCell ref="C41:D41"/>
    <mergeCell ref="C26:E26"/>
    <mergeCell ref="C12:E12"/>
    <mergeCell ref="C13:E13"/>
    <mergeCell ref="C16:D16"/>
    <mergeCell ref="E16:F16"/>
    <mergeCell ref="D17:F17"/>
    <mergeCell ref="D18:F18"/>
    <mergeCell ref="C19:E19"/>
    <mergeCell ref="B21:F21"/>
    <mergeCell ref="B22:E22"/>
    <mergeCell ref="C24:E24"/>
    <mergeCell ref="C25:E25"/>
    <mergeCell ref="C11:E11"/>
    <mergeCell ref="B3:F3"/>
    <mergeCell ref="B4:D4"/>
    <mergeCell ref="B5:F5"/>
    <mergeCell ref="B6:C6"/>
    <mergeCell ref="D6:F6"/>
    <mergeCell ref="B7:C7"/>
    <mergeCell ref="D7:E7"/>
    <mergeCell ref="B8:F8"/>
    <mergeCell ref="C9:E9"/>
    <mergeCell ref="D10:F1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topLeftCell="A10" workbookViewId="0">
      <selection activeCell="F44" sqref="F44"/>
    </sheetView>
  </sheetViews>
  <sheetFormatPr defaultColWidth="9.109375" defaultRowHeight="16.8" x14ac:dyDescent="0.4"/>
  <cols>
    <col min="1" max="1" width="2.6640625" style="2" customWidth="1"/>
    <col min="2" max="2" width="8.88671875" style="2" customWidth="1"/>
    <col min="3" max="3" width="52.5546875" style="27" customWidth="1"/>
    <col min="4" max="4" width="22" style="27" customWidth="1"/>
    <col min="5" max="5" width="7.88671875" style="27" customWidth="1"/>
    <col min="6" max="6" width="46.33203125" style="2" customWidth="1"/>
    <col min="7" max="16384" width="9.109375" style="2"/>
  </cols>
  <sheetData>
    <row r="1" spans="2:6" s="5" customFormat="1" ht="24.6" x14ac:dyDescent="0.55000000000000004">
      <c r="B1" s="16" t="s">
        <v>95</v>
      </c>
      <c r="C1" s="2"/>
      <c r="D1" s="2"/>
      <c r="E1" s="2"/>
      <c r="F1" s="2"/>
    </row>
    <row r="2" spans="2:6" x14ac:dyDescent="0.4">
      <c r="B2" s="26" t="s">
        <v>26</v>
      </c>
      <c r="E2" s="34"/>
    </row>
    <row r="3" spans="2:6" x14ac:dyDescent="0.4">
      <c r="B3" s="26" t="s">
        <v>27</v>
      </c>
      <c r="C3" s="35"/>
      <c r="D3" s="36"/>
      <c r="E3" s="37"/>
    </row>
    <row r="4" spans="2:6" x14ac:dyDescent="0.4">
      <c r="B4" s="9" t="s">
        <v>28</v>
      </c>
      <c r="C4" s="167" t="s">
        <v>29</v>
      </c>
      <c r="D4" s="167"/>
      <c r="E4" s="38" t="s">
        <v>30</v>
      </c>
      <c r="F4" s="38" t="s">
        <v>96</v>
      </c>
    </row>
    <row r="5" spans="2:6" x14ac:dyDescent="0.4">
      <c r="B5" s="9" t="s">
        <v>4</v>
      </c>
      <c r="C5" s="183" t="s">
        <v>31</v>
      </c>
      <c r="D5" s="183"/>
      <c r="E5" s="39">
        <f>(1/MESES_NO_ANO)*100</f>
        <v>8.3333333333333321</v>
      </c>
      <c r="F5" s="39" t="s">
        <v>97</v>
      </c>
    </row>
    <row r="6" spans="2:6" s="1" customFormat="1" x14ac:dyDescent="0.4">
      <c r="B6" s="41" t="s">
        <v>6</v>
      </c>
      <c r="C6" s="187" t="s">
        <v>32</v>
      </c>
      <c r="D6" s="187"/>
      <c r="E6" s="42">
        <f>(1/3)/MESES_NO_ANO*100</f>
        <v>2.7777777777777777</v>
      </c>
      <c r="F6" s="42" t="s">
        <v>98</v>
      </c>
    </row>
    <row r="7" spans="2:6" s="45" customFormat="1" ht="16.5" customHeight="1" x14ac:dyDescent="0.4">
      <c r="B7" s="202" t="s">
        <v>33</v>
      </c>
      <c r="C7" s="202"/>
      <c r="D7" s="202"/>
      <c r="E7" s="202"/>
      <c r="F7" s="202"/>
    </row>
    <row r="8" spans="2:6" s="45" customFormat="1" x14ac:dyDescent="0.4">
      <c r="B8" s="9" t="s">
        <v>34</v>
      </c>
      <c r="C8" s="203" t="s">
        <v>35</v>
      </c>
      <c r="D8" s="203"/>
      <c r="E8" s="38" t="s">
        <v>30</v>
      </c>
    </row>
    <row r="9" spans="2:6" x14ac:dyDescent="0.4">
      <c r="B9" s="9" t="s">
        <v>4</v>
      </c>
      <c r="C9" s="183" t="s">
        <v>36</v>
      </c>
      <c r="D9" s="183"/>
      <c r="E9" s="39">
        <v>20</v>
      </c>
    </row>
    <row r="10" spans="2:6" s="5" customFormat="1" x14ac:dyDescent="0.25">
      <c r="B10" s="41" t="s">
        <v>6</v>
      </c>
      <c r="C10" s="187" t="s">
        <v>37</v>
      </c>
      <c r="D10" s="187"/>
      <c r="E10" s="47">
        <v>2.5</v>
      </c>
    </row>
    <row r="11" spans="2:6" s="5" customFormat="1" x14ac:dyDescent="0.25">
      <c r="B11" s="41" t="s">
        <v>8</v>
      </c>
      <c r="C11" s="183" t="s">
        <v>38</v>
      </c>
      <c r="D11" s="183"/>
      <c r="E11" s="39">
        <f>3*2</f>
        <v>6</v>
      </c>
    </row>
    <row r="12" spans="2:6" s="5" customFormat="1" x14ac:dyDescent="0.25">
      <c r="B12" s="41" t="s">
        <v>10</v>
      </c>
      <c r="C12" s="187" t="s">
        <v>39</v>
      </c>
      <c r="D12" s="187"/>
      <c r="E12" s="42">
        <v>1.5</v>
      </c>
    </row>
    <row r="13" spans="2:6" s="5" customFormat="1" x14ac:dyDescent="0.25">
      <c r="B13" s="41" t="s">
        <v>12</v>
      </c>
      <c r="C13" s="183" t="s">
        <v>40</v>
      </c>
      <c r="D13" s="183"/>
      <c r="E13" s="39">
        <v>1</v>
      </c>
    </row>
    <row r="14" spans="2:6" s="7" customFormat="1" x14ac:dyDescent="0.25">
      <c r="B14" s="41" t="s">
        <v>41</v>
      </c>
      <c r="C14" s="187" t="s">
        <v>42</v>
      </c>
      <c r="D14" s="187"/>
      <c r="E14" s="47">
        <v>0.6</v>
      </c>
    </row>
    <row r="15" spans="2:6" s="7" customFormat="1" x14ac:dyDescent="0.25">
      <c r="B15" s="41" t="s">
        <v>43</v>
      </c>
      <c r="C15" s="183" t="s">
        <v>44</v>
      </c>
      <c r="D15" s="183"/>
      <c r="E15" s="39">
        <v>0.2</v>
      </c>
    </row>
    <row r="16" spans="2:6" x14ac:dyDescent="0.4">
      <c r="B16" s="41" t="s">
        <v>45</v>
      </c>
      <c r="C16" s="187" t="s">
        <v>46</v>
      </c>
      <c r="D16" s="187"/>
      <c r="E16" s="47">
        <v>8</v>
      </c>
    </row>
    <row r="17" spans="2:6" x14ac:dyDescent="0.4">
      <c r="B17" s="167" t="s">
        <v>25</v>
      </c>
      <c r="C17" s="167"/>
      <c r="D17" s="167"/>
      <c r="E17" s="75">
        <f>SUM(E9:E16)</f>
        <v>39.799999999999997</v>
      </c>
    </row>
    <row r="18" spans="2:6" s="45" customFormat="1" x14ac:dyDescent="0.4">
      <c r="B18" s="26" t="s">
        <v>52</v>
      </c>
      <c r="C18" s="35"/>
      <c r="D18" s="36"/>
      <c r="E18" s="37"/>
    </row>
    <row r="19" spans="2:6" s="45" customFormat="1" x14ac:dyDescent="0.4">
      <c r="B19" s="9">
        <v>3</v>
      </c>
      <c r="C19" s="167" t="s">
        <v>53</v>
      </c>
      <c r="D19" s="167"/>
      <c r="E19" s="38" t="s">
        <v>30</v>
      </c>
      <c r="F19" s="38" t="s">
        <v>96</v>
      </c>
    </row>
    <row r="20" spans="2:6" s="45" customFormat="1" x14ac:dyDescent="0.4">
      <c r="B20" s="9" t="s">
        <v>4</v>
      </c>
      <c r="C20" s="184" t="s">
        <v>54</v>
      </c>
      <c r="D20" s="184"/>
      <c r="E20" s="39">
        <f>PERC_EMPREG_DEMIT_SEM_JUSTA_CAUSA_TOTAL_DESLIG%*PERC_EMPREG_AVISO_PREVIO_IND%*1/MESES_NO_ANO*100</f>
        <v>0.29105124999999998</v>
      </c>
      <c r="F20" s="39" t="s">
        <v>99</v>
      </c>
    </row>
    <row r="21" spans="2:6" s="45" customFormat="1" x14ac:dyDescent="0.4">
      <c r="B21" s="41" t="s">
        <v>6</v>
      </c>
      <c r="C21" s="185" t="s">
        <v>55</v>
      </c>
      <c r="D21" s="185"/>
      <c r="E21" s="47">
        <f>PERC_EMPREG_DEMIT_SEM_JUSTA_CAUSA_TOTAL_DESLIG%*PERC_EMPREG_AVISO_PREVIO_TRAB%*(DIAS_NA_SEMANA/DIAS_NO_MES)/MESES_NO_ANO*100</f>
        <v>1.1557269305555555</v>
      </c>
      <c r="F21" s="42" t="s">
        <v>100</v>
      </c>
    </row>
    <row r="22" spans="2:6" s="5" customFormat="1" ht="16.5" customHeight="1" x14ac:dyDescent="0.25">
      <c r="B22" s="41" t="s">
        <v>8</v>
      </c>
      <c r="C22" s="184" t="s">
        <v>56</v>
      </c>
      <c r="D22" s="184"/>
      <c r="E22" s="39">
        <f>ROUNDUP(PERC_AVISO_PREVIO_TRAB%*(PERC_MULTA_FGTS%)*PERC_FGTS%*100,2)</f>
        <v>0.04</v>
      </c>
      <c r="F22" s="39" t="s">
        <v>101</v>
      </c>
    </row>
    <row r="23" spans="2:6" s="5" customFormat="1" x14ac:dyDescent="0.4">
      <c r="B23" s="26" t="s">
        <v>57</v>
      </c>
      <c r="C23" s="35"/>
      <c r="D23" s="36"/>
      <c r="E23" s="2"/>
    </row>
    <row r="24" spans="2:6" s="5" customFormat="1" x14ac:dyDescent="0.4">
      <c r="B24" s="26" t="s">
        <v>58</v>
      </c>
      <c r="C24" s="35"/>
      <c r="D24" s="36"/>
      <c r="E24" s="37"/>
    </row>
    <row r="25" spans="2:6" s="5" customFormat="1" x14ac:dyDescent="0.25">
      <c r="B25" s="9" t="s">
        <v>59</v>
      </c>
      <c r="C25" s="186" t="s">
        <v>60</v>
      </c>
      <c r="D25" s="186"/>
      <c r="E25" s="38" t="s">
        <v>30</v>
      </c>
      <c r="F25" s="38" t="s">
        <v>96</v>
      </c>
    </row>
    <row r="26" spans="2:6" s="5" customFormat="1" x14ac:dyDescent="0.25">
      <c r="B26" s="41" t="s">
        <v>4</v>
      </c>
      <c r="C26" s="183" t="s">
        <v>61</v>
      </c>
      <c r="D26" s="183"/>
      <c r="E26" s="39">
        <f>(1/MESES_NO_ANO)*100</f>
        <v>8.3333333333333321</v>
      </c>
      <c r="F26" s="39" t="s">
        <v>102</v>
      </c>
    </row>
    <row r="27" spans="2:6" s="5" customFormat="1" x14ac:dyDescent="0.25">
      <c r="B27" s="41" t="s">
        <v>6</v>
      </c>
      <c r="C27" s="76" t="s">
        <v>62</v>
      </c>
      <c r="D27" s="76"/>
      <c r="E27" s="47">
        <f>(DIAS_AUSENCIAS_LEGAIS/DIAS_NO_MES)/MESES_NO_ANO*100</f>
        <v>2.2222222222222223</v>
      </c>
      <c r="F27" s="42" t="s">
        <v>103</v>
      </c>
    </row>
    <row r="28" spans="2:6" s="5" customFormat="1" x14ac:dyDescent="0.25">
      <c r="B28" s="41" t="s">
        <v>8</v>
      </c>
      <c r="C28" s="183" t="s">
        <v>63</v>
      </c>
      <c r="D28" s="183"/>
      <c r="E28" s="39">
        <f>(((DIAS_LICENCA_PATERNIDADE/DIAS_NO_MES)/MESES_NO_ANO)*PERC_NASCIDOS_VIVOS_POPUL_FEM%*PERC_PARTIC_MASC_VIGIL%)*100</f>
        <v>6.8207333333333314E-2</v>
      </c>
      <c r="F28" s="39" t="s">
        <v>104</v>
      </c>
    </row>
    <row r="29" spans="2:6" s="5" customFormat="1" x14ac:dyDescent="0.25">
      <c r="B29" s="41" t="s">
        <v>10</v>
      </c>
      <c r="C29" s="187" t="s">
        <v>64</v>
      </c>
      <c r="D29" s="187"/>
      <c r="E29" s="47">
        <f>(DIAS_PAGOS_EMPRESA_ACID_TRAB/DIAS_NO_MES)/MESES_NO_ANO*PERC_EMPREG_AFAST_TRAB%*100</f>
        <v>1.8333333333333333E-2</v>
      </c>
      <c r="F29" s="42" t="s">
        <v>105</v>
      </c>
    </row>
    <row r="30" spans="2:6" s="5" customFormat="1" x14ac:dyDescent="0.25">
      <c r="B30" s="41" t="s">
        <v>12</v>
      </c>
      <c r="C30" s="183" t="s">
        <v>65</v>
      </c>
      <c r="D30" s="183"/>
      <c r="E30" s="39">
        <f>(((DIAS_LICENCA_MATERNIDADE/DIAS_NO_MES)/MESES_NO_ANO)*PERC_NASCIDOS_VIVOS_POPUL_FEM%*PERC_PARTIC_FEM_VIGIL%*PERC_GPS_FGTS%*100)</f>
        <v>3.8261331999999995E-2</v>
      </c>
      <c r="F30" s="39" t="s">
        <v>106</v>
      </c>
    </row>
    <row r="31" spans="2:6" s="5" customFormat="1" x14ac:dyDescent="0.25">
      <c r="B31" s="41" t="s">
        <v>41</v>
      </c>
      <c r="C31" s="187" t="str">
        <f>OUTRAS_AUSENCIAS_DESCRICAO</f>
        <v>Outras Ausências (Especificar - em %)</v>
      </c>
      <c r="D31" s="187"/>
      <c r="E31" s="47">
        <f>PERC_SUBSTITUTO_OUTRAS_AUSENCIAS</f>
        <v>0</v>
      </c>
      <c r="F31" s="42"/>
    </row>
    <row r="32" spans="2:6" s="5" customFormat="1" x14ac:dyDescent="0.25">
      <c r="B32" s="25"/>
      <c r="C32" s="69"/>
      <c r="D32" s="69"/>
      <c r="E32" s="77"/>
      <c r="F32" s="78"/>
    </row>
    <row r="33" spans="2:6" s="5" customFormat="1" x14ac:dyDescent="0.25">
      <c r="B33" s="9" t="s">
        <v>67</v>
      </c>
      <c r="C33" s="167" t="s">
        <v>68</v>
      </c>
      <c r="D33" s="167"/>
      <c r="E33" s="167"/>
      <c r="F33" s="38" t="s">
        <v>96</v>
      </c>
    </row>
    <row r="34" spans="2:6" s="5" customFormat="1" x14ac:dyDescent="0.25">
      <c r="B34" s="9" t="s">
        <v>4</v>
      </c>
      <c r="C34" s="183" t="s">
        <v>107</v>
      </c>
      <c r="D34" s="183"/>
      <c r="E34" s="183"/>
      <c r="F34" s="79" t="s">
        <v>108</v>
      </c>
    </row>
    <row r="35" spans="2:6" s="5" customFormat="1" ht="16.5" customHeight="1" x14ac:dyDescent="0.25">
      <c r="B35" s="80" t="s">
        <v>6</v>
      </c>
      <c r="C35" s="183" t="s">
        <v>109</v>
      </c>
      <c r="D35" s="183"/>
      <c r="E35" s="183"/>
      <c r="F35" s="79" t="s">
        <v>110</v>
      </c>
    </row>
    <row r="36" spans="2:6" ht="37.5" customHeight="1" x14ac:dyDescent="0.4">
      <c r="B36" s="204" t="s">
        <v>192</v>
      </c>
      <c r="C36" s="204"/>
      <c r="D36" s="204"/>
      <c r="E36" s="204"/>
      <c r="F36" s="204"/>
    </row>
  </sheetData>
  <mergeCells count="28">
    <mergeCell ref="C33:E33"/>
    <mergeCell ref="C34:E34"/>
    <mergeCell ref="C35:E35"/>
    <mergeCell ref="B36:F36"/>
    <mergeCell ref="C25:D25"/>
    <mergeCell ref="C26:D26"/>
    <mergeCell ref="C28:D28"/>
    <mergeCell ref="C29:D29"/>
    <mergeCell ref="C30:D30"/>
    <mergeCell ref="C31:D31"/>
    <mergeCell ref="C22:D22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9:D9"/>
    <mergeCell ref="C4:D4"/>
    <mergeCell ref="C5:D5"/>
    <mergeCell ref="C6:D6"/>
    <mergeCell ref="B7:F7"/>
    <mergeCell ref="C8:D8"/>
  </mergeCells>
  <dataValidations count="2"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>
      <formula1>0</formula1>
      <formula2>1.94</formula2>
    </dataValidation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>
      <formula1>0</formula1>
      <formula2>0.46</formula2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B1" zoomScaleNormal="100" workbookViewId="0">
      <selection activeCell="B39" sqref="B39"/>
    </sheetView>
  </sheetViews>
  <sheetFormatPr defaultColWidth="28" defaultRowHeight="15.6" x14ac:dyDescent="0.3"/>
  <cols>
    <col min="1" max="1" width="28" style="100" hidden="1" customWidth="1"/>
    <col min="2" max="2" width="14.33203125" style="100" customWidth="1"/>
    <col min="3" max="3" width="8.77734375" style="100" customWidth="1"/>
    <col min="4" max="4" width="53.77734375" style="100" customWidth="1"/>
    <col min="5" max="5" width="10.21875" style="100" customWidth="1"/>
    <col min="6" max="6" width="9.21875" style="100" customWidth="1"/>
    <col min="7" max="7" width="13.5546875" style="100" customWidth="1"/>
    <col min="8" max="8" width="22.77734375" style="100" customWidth="1"/>
    <col min="9" max="9" width="18.5546875" style="100" customWidth="1"/>
    <col min="10" max="10" width="25.6640625" style="100" customWidth="1"/>
    <col min="11" max="16384" width="28" style="100"/>
  </cols>
  <sheetData>
    <row r="1" spans="2:10" x14ac:dyDescent="0.3">
      <c r="B1" s="216" t="s">
        <v>179</v>
      </c>
      <c r="C1" s="216"/>
      <c r="D1" s="216"/>
      <c r="E1" s="216"/>
      <c r="F1" s="216"/>
      <c r="G1" s="216"/>
      <c r="H1" s="216"/>
      <c r="I1" s="216"/>
      <c r="J1" s="216"/>
    </row>
    <row r="2" spans="2:10" x14ac:dyDescent="0.3">
      <c r="B2" s="217"/>
      <c r="C2" s="217"/>
      <c r="D2" s="217"/>
      <c r="E2" s="217"/>
      <c r="F2" s="217"/>
      <c r="G2" s="217"/>
      <c r="H2" s="217"/>
      <c r="I2" s="217"/>
      <c r="J2" s="217"/>
    </row>
    <row r="3" spans="2:10" x14ac:dyDescent="0.3">
      <c r="B3" s="123"/>
      <c r="C3" s="99"/>
      <c r="D3" s="99"/>
      <c r="E3" s="99"/>
      <c r="F3" s="99"/>
      <c r="G3" s="99"/>
      <c r="H3" s="208" t="s">
        <v>189</v>
      </c>
      <c r="I3" s="209"/>
      <c r="J3" s="209"/>
    </row>
    <row r="4" spans="2:10" ht="25.05" customHeight="1" x14ac:dyDescent="0.3">
      <c r="B4" s="205" t="s">
        <v>146</v>
      </c>
      <c r="C4" s="205" t="s">
        <v>147</v>
      </c>
      <c r="D4" s="205" t="s">
        <v>148</v>
      </c>
      <c r="E4" s="210" t="s">
        <v>149</v>
      </c>
      <c r="F4" s="210" t="s">
        <v>150</v>
      </c>
      <c r="G4" s="211" t="s">
        <v>177</v>
      </c>
      <c r="H4" s="205" t="s">
        <v>151</v>
      </c>
      <c r="I4" s="205"/>
      <c r="J4" s="205"/>
    </row>
    <row r="5" spans="2:10" ht="25.05" customHeight="1" x14ac:dyDescent="0.3">
      <c r="B5" s="205"/>
      <c r="C5" s="205"/>
      <c r="D5" s="205"/>
      <c r="E5" s="210"/>
      <c r="F5" s="210"/>
      <c r="G5" s="212"/>
      <c r="H5" s="116" t="s">
        <v>175</v>
      </c>
      <c r="I5" s="116" t="s">
        <v>152</v>
      </c>
      <c r="J5" s="121" t="s">
        <v>176</v>
      </c>
    </row>
    <row r="6" spans="2:10" ht="25.05" customHeight="1" x14ac:dyDescent="0.3">
      <c r="B6" s="205" t="s">
        <v>153</v>
      </c>
      <c r="C6" s="118" t="s">
        <v>4</v>
      </c>
      <c r="D6" s="105" t="s">
        <v>154</v>
      </c>
      <c r="E6" s="106">
        <v>4</v>
      </c>
      <c r="F6" s="106">
        <v>1</v>
      </c>
      <c r="G6" s="118">
        <v>5</v>
      </c>
      <c r="H6" s="107">
        <v>0</v>
      </c>
      <c r="I6" s="108">
        <v>0</v>
      </c>
      <c r="J6" s="108">
        <v>0</v>
      </c>
    </row>
    <row r="7" spans="2:10" ht="25.05" customHeight="1" x14ac:dyDescent="0.3">
      <c r="B7" s="205"/>
      <c r="C7" s="118" t="s">
        <v>6</v>
      </c>
      <c r="D7" s="105" t="s">
        <v>155</v>
      </c>
      <c r="E7" s="106">
        <v>4</v>
      </c>
      <c r="F7" s="106">
        <v>4</v>
      </c>
      <c r="G7" s="118">
        <v>8</v>
      </c>
      <c r="H7" s="107">
        <v>0</v>
      </c>
      <c r="I7" s="108">
        <v>0</v>
      </c>
      <c r="J7" s="108">
        <v>0</v>
      </c>
    </row>
    <row r="8" spans="2:10" ht="25.05" customHeight="1" x14ac:dyDescent="0.3">
      <c r="B8" s="205"/>
      <c r="C8" s="118" t="s">
        <v>8</v>
      </c>
      <c r="D8" s="105" t="s">
        <v>156</v>
      </c>
      <c r="E8" s="106">
        <v>3</v>
      </c>
      <c r="F8" s="106">
        <v>4</v>
      </c>
      <c r="G8" s="118">
        <v>7</v>
      </c>
      <c r="H8" s="107">
        <v>0</v>
      </c>
      <c r="I8" s="108">
        <v>0</v>
      </c>
      <c r="J8" s="108">
        <v>0</v>
      </c>
    </row>
    <row r="9" spans="2:10" ht="25.05" customHeight="1" x14ac:dyDescent="0.3">
      <c r="B9" s="205"/>
      <c r="C9" s="206" t="s">
        <v>157</v>
      </c>
      <c r="D9" s="206"/>
      <c r="E9" s="122">
        <v>11</v>
      </c>
      <c r="F9" s="122">
        <v>9</v>
      </c>
      <c r="G9" s="119">
        <v>20</v>
      </c>
      <c r="H9" s="110"/>
      <c r="I9" s="111">
        <v>0</v>
      </c>
      <c r="J9" s="111">
        <v>0</v>
      </c>
    </row>
    <row r="10" spans="2:10" ht="25.05" customHeight="1" x14ac:dyDescent="0.3">
      <c r="B10" s="205" t="s">
        <v>158</v>
      </c>
      <c r="C10" s="124" t="s">
        <v>6</v>
      </c>
      <c r="D10" s="105" t="s">
        <v>155</v>
      </c>
      <c r="E10" s="112">
        <v>0</v>
      </c>
      <c r="F10" s="112">
        <v>1</v>
      </c>
      <c r="G10" s="112">
        <v>1</v>
      </c>
      <c r="H10" s="107">
        <v>0</v>
      </c>
      <c r="I10" s="108">
        <v>0</v>
      </c>
      <c r="J10" s="108">
        <v>0</v>
      </c>
    </row>
    <row r="11" spans="2:10" ht="25.05" customHeight="1" x14ac:dyDescent="0.3">
      <c r="B11" s="205"/>
      <c r="C11" s="124" t="s">
        <v>8</v>
      </c>
      <c r="D11" s="105" t="s">
        <v>156</v>
      </c>
      <c r="E11" s="112">
        <v>0</v>
      </c>
      <c r="F11" s="112">
        <v>1</v>
      </c>
      <c r="G11" s="112">
        <v>1</v>
      </c>
      <c r="H11" s="107">
        <v>0</v>
      </c>
      <c r="I11" s="108">
        <v>0</v>
      </c>
      <c r="J11" s="108">
        <v>0</v>
      </c>
    </row>
    <row r="12" spans="2:10" ht="25.05" customHeight="1" x14ac:dyDescent="0.3">
      <c r="B12" s="205"/>
      <c r="C12" s="206" t="s">
        <v>159</v>
      </c>
      <c r="D12" s="206"/>
      <c r="E12" s="109">
        <v>0</v>
      </c>
      <c r="F12" s="109">
        <v>2</v>
      </c>
      <c r="G12" s="119">
        <v>2</v>
      </c>
      <c r="H12" s="110"/>
      <c r="I12" s="111">
        <v>0</v>
      </c>
      <c r="J12" s="111">
        <v>0</v>
      </c>
    </row>
    <row r="13" spans="2:10" ht="25.05" customHeight="1" x14ac:dyDescent="0.3">
      <c r="B13" s="205" t="s">
        <v>160</v>
      </c>
      <c r="C13" s="118" t="s">
        <v>4</v>
      </c>
      <c r="D13" s="105" t="s">
        <v>154</v>
      </c>
      <c r="E13" s="106">
        <v>2</v>
      </c>
      <c r="F13" s="112">
        <v>0</v>
      </c>
      <c r="G13" s="112">
        <v>2</v>
      </c>
      <c r="H13" s="107">
        <v>0</v>
      </c>
      <c r="I13" s="108">
        <v>0</v>
      </c>
      <c r="J13" s="108">
        <v>0</v>
      </c>
    </row>
    <row r="14" spans="2:10" ht="25.05" customHeight="1" x14ac:dyDescent="0.3">
      <c r="B14" s="205"/>
      <c r="C14" s="118" t="s">
        <v>6</v>
      </c>
      <c r="D14" s="105" t="s">
        <v>155</v>
      </c>
      <c r="E14" s="106">
        <v>1</v>
      </c>
      <c r="F14" s="106">
        <v>1</v>
      </c>
      <c r="G14" s="112">
        <v>2</v>
      </c>
      <c r="H14" s="107">
        <v>0</v>
      </c>
      <c r="I14" s="108">
        <v>0</v>
      </c>
      <c r="J14" s="108">
        <v>0</v>
      </c>
    </row>
    <row r="15" spans="2:10" ht="25.05" customHeight="1" x14ac:dyDescent="0.3">
      <c r="B15" s="205"/>
      <c r="C15" s="118" t="s">
        <v>8</v>
      </c>
      <c r="D15" s="105" t="s">
        <v>156</v>
      </c>
      <c r="E15" s="106">
        <v>1</v>
      </c>
      <c r="F15" s="106">
        <v>1</v>
      </c>
      <c r="G15" s="112">
        <v>2</v>
      </c>
      <c r="H15" s="107">
        <v>0</v>
      </c>
      <c r="I15" s="108">
        <v>0</v>
      </c>
      <c r="J15" s="108">
        <v>0</v>
      </c>
    </row>
    <row r="16" spans="2:10" ht="25.05" customHeight="1" x14ac:dyDescent="0.3">
      <c r="B16" s="205"/>
      <c r="C16" s="207" t="s">
        <v>161</v>
      </c>
      <c r="D16" s="207"/>
      <c r="E16" s="122">
        <v>4</v>
      </c>
      <c r="F16" s="122">
        <v>2</v>
      </c>
      <c r="G16" s="119">
        <v>6</v>
      </c>
      <c r="H16" s="110"/>
      <c r="I16" s="111">
        <v>0</v>
      </c>
      <c r="J16" s="111">
        <v>0</v>
      </c>
    </row>
    <row r="17" spans="2:10" ht="25.05" customHeight="1" x14ac:dyDescent="0.3">
      <c r="B17" s="205" t="s">
        <v>162</v>
      </c>
      <c r="C17" s="112" t="s">
        <v>6</v>
      </c>
      <c r="D17" s="105" t="s">
        <v>155</v>
      </c>
      <c r="E17" s="106">
        <v>1</v>
      </c>
      <c r="F17" s="106">
        <v>1</v>
      </c>
      <c r="G17" s="112">
        <v>2</v>
      </c>
      <c r="H17" s="107">
        <v>0</v>
      </c>
      <c r="I17" s="108">
        <v>0</v>
      </c>
      <c r="J17" s="108">
        <v>0</v>
      </c>
    </row>
    <row r="18" spans="2:10" ht="25.05" customHeight="1" x14ac:dyDescent="0.3">
      <c r="B18" s="205"/>
      <c r="C18" s="112" t="s">
        <v>8</v>
      </c>
      <c r="D18" s="105" t="s">
        <v>156</v>
      </c>
      <c r="E18" s="106">
        <v>1</v>
      </c>
      <c r="F18" s="106">
        <v>1</v>
      </c>
      <c r="G18" s="112">
        <v>2</v>
      </c>
      <c r="H18" s="107">
        <v>0</v>
      </c>
      <c r="I18" s="108">
        <v>0</v>
      </c>
      <c r="J18" s="108">
        <v>0</v>
      </c>
    </row>
    <row r="19" spans="2:10" ht="25.05" customHeight="1" x14ac:dyDescent="0.3">
      <c r="B19" s="205"/>
      <c r="C19" s="207" t="s">
        <v>163</v>
      </c>
      <c r="D19" s="207"/>
      <c r="E19" s="109">
        <v>2</v>
      </c>
      <c r="F19" s="109">
        <v>2</v>
      </c>
      <c r="G19" s="119">
        <v>4</v>
      </c>
      <c r="H19" s="109"/>
      <c r="I19" s="111">
        <v>0</v>
      </c>
      <c r="J19" s="111">
        <v>0</v>
      </c>
    </row>
    <row r="20" spans="2:10" ht="25.05" customHeight="1" x14ac:dyDescent="0.3">
      <c r="B20" s="205" t="s">
        <v>164</v>
      </c>
      <c r="C20" s="118" t="s">
        <v>6</v>
      </c>
      <c r="D20" s="105" t="s">
        <v>155</v>
      </c>
      <c r="E20" s="106">
        <v>1</v>
      </c>
      <c r="F20" s="106">
        <v>1</v>
      </c>
      <c r="G20" s="112">
        <v>2</v>
      </c>
      <c r="H20" s="107">
        <v>0</v>
      </c>
      <c r="I20" s="108">
        <v>0</v>
      </c>
      <c r="J20" s="108">
        <v>0</v>
      </c>
    </row>
    <row r="21" spans="2:10" ht="25.05" customHeight="1" x14ac:dyDescent="0.3">
      <c r="B21" s="205"/>
      <c r="C21" s="118" t="s">
        <v>8</v>
      </c>
      <c r="D21" s="105" t="s">
        <v>156</v>
      </c>
      <c r="E21" s="106">
        <v>1</v>
      </c>
      <c r="F21" s="106">
        <v>1</v>
      </c>
      <c r="G21" s="112">
        <v>2</v>
      </c>
      <c r="H21" s="107">
        <v>0</v>
      </c>
      <c r="I21" s="108">
        <v>0</v>
      </c>
      <c r="J21" s="108">
        <v>0</v>
      </c>
    </row>
    <row r="22" spans="2:10" ht="25.05" customHeight="1" x14ac:dyDescent="0.3">
      <c r="B22" s="205"/>
      <c r="C22" s="207" t="s">
        <v>165</v>
      </c>
      <c r="D22" s="207"/>
      <c r="E22" s="122">
        <v>2</v>
      </c>
      <c r="F22" s="122">
        <v>2</v>
      </c>
      <c r="G22" s="119">
        <v>4</v>
      </c>
      <c r="H22" s="110"/>
      <c r="I22" s="111">
        <v>0</v>
      </c>
      <c r="J22" s="111">
        <v>0</v>
      </c>
    </row>
    <row r="23" spans="2:10" ht="25.05" customHeight="1" x14ac:dyDescent="0.3">
      <c r="B23" s="205" t="s">
        <v>166</v>
      </c>
      <c r="C23" s="118" t="s">
        <v>6</v>
      </c>
      <c r="D23" s="105" t="s">
        <v>155</v>
      </c>
      <c r="E23" s="106">
        <v>1</v>
      </c>
      <c r="F23" s="106">
        <v>1</v>
      </c>
      <c r="G23" s="112">
        <v>2</v>
      </c>
      <c r="H23" s="107">
        <v>0</v>
      </c>
      <c r="I23" s="108">
        <v>0</v>
      </c>
      <c r="J23" s="108">
        <v>0</v>
      </c>
    </row>
    <row r="24" spans="2:10" ht="25.05" customHeight="1" x14ac:dyDescent="0.3">
      <c r="B24" s="205"/>
      <c r="C24" s="118" t="s">
        <v>8</v>
      </c>
      <c r="D24" s="105" t="s">
        <v>156</v>
      </c>
      <c r="E24" s="106">
        <v>1</v>
      </c>
      <c r="F24" s="106">
        <v>1</v>
      </c>
      <c r="G24" s="112">
        <v>2</v>
      </c>
      <c r="H24" s="107">
        <v>0</v>
      </c>
      <c r="I24" s="108">
        <v>0</v>
      </c>
      <c r="J24" s="108">
        <v>0</v>
      </c>
    </row>
    <row r="25" spans="2:10" ht="25.05" customHeight="1" x14ac:dyDescent="0.3">
      <c r="B25" s="205"/>
      <c r="C25" s="207" t="s">
        <v>167</v>
      </c>
      <c r="D25" s="207"/>
      <c r="E25" s="122">
        <v>2</v>
      </c>
      <c r="F25" s="122">
        <v>2</v>
      </c>
      <c r="G25" s="119">
        <v>4</v>
      </c>
      <c r="H25" s="110"/>
      <c r="I25" s="111">
        <v>0</v>
      </c>
      <c r="J25" s="111">
        <v>0</v>
      </c>
    </row>
    <row r="26" spans="2:10" ht="25.05" customHeight="1" x14ac:dyDescent="0.3">
      <c r="B26" s="205" t="s">
        <v>168</v>
      </c>
      <c r="C26" s="118" t="s">
        <v>6</v>
      </c>
      <c r="D26" s="105" t="s">
        <v>155</v>
      </c>
      <c r="E26" s="106">
        <v>1</v>
      </c>
      <c r="F26" s="106">
        <v>1</v>
      </c>
      <c r="G26" s="112">
        <v>2</v>
      </c>
      <c r="H26" s="107">
        <v>0</v>
      </c>
      <c r="I26" s="108">
        <v>0</v>
      </c>
      <c r="J26" s="108">
        <v>0</v>
      </c>
    </row>
    <row r="27" spans="2:10" ht="25.05" customHeight="1" x14ac:dyDescent="0.3">
      <c r="B27" s="205"/>
      <c r="C27" s="118" t="s">
        <v>8</v>
      </c>
      <c r="D27" s="105" t="s">
        <v>156</v>
      </c>
      <c r="E27" s="106">
        <v>1</v>
      </c>
      <c r="F27" s="106">
        <v>1</v>
      </c>
      <c r="G27" s="112">
        <v>2</v>
      </c>
      <c r="H27" s="107">
        <v>0</v>
      </c>
      <c r="I27" s="108">
        <v>0</v>
      </c>
      <c r="J27" s="108">
        <v>0</v>
      </c>
    </row>
    <row r="28" spans="2:10" ht="25.05" customHeight="1" x14ac:dyDescent="0.3">
      <c r="B28" s="205"/>
      <c r="C28" s="207" t="s">
        <v>169</v>
      </c>
      <c r="D28" s="207"/>
      <c r="E28" s="122">
        <v>2</v>
      </c>
      <c r="F28" s="122">
        <v>2</v>
      </c>
      <c r="G28" s="119">
        <v>4</v>
      </c>
      <c r="H28" s="110"/>
      <c r="I28" s="111">
        <v>0</v>
      </c>
      <c r="J28" s="111">
        <v>0</v>
      </c>
    </row>
    <row r="29" spans="2:10" ht="25.05" customHeight="1" x14ac:dyDescent="0.3">
      <c r="B29" s="205" t="s">
        <v>170</v>
      </c>
      <c r="C29" s="118" t="s">
        <v>6</v>
      </c>
      <c r="D29" s="105" t="s">
        <v>155</v>
      </c>
      <c r="E29" s="106">
        <v>1</v>
      </c>
      <c r="F29" s="106">
        <v>1</v>
      </c>
      <c r="G29" s="112">
        <v>2</v>
      </c>
      <c r="H29" s="107">
        <v>0</v>
      </c>
      <c r="I29" s="108">
        <v>0</v>
      </c>
      <c r="J29" s="108">
        <v>0</v>
      </c>
    </row>
    <row r="30" spans="2:10" ht="25.05" customHeight="1" x14ac:dyDescent="0.3">
      <c r="B30" s="205"/>
      <c r="C30" s="118" t="s">
        <v>8</v>
      </c>
      <c r="D30" s="105" t="s">
        <v>156</v>
      </c>
      <c r="E30" s="106">
        <v>1</v>
      </c>
      <c r="F30" s="106">
        <v>1</v>
      </c>
      <c r="G30" s="112">
        <v>2</v>
      </c>
      <c r="H30" s="107">
        <v>0</v>
      </c>
      <c r="I30" s="108">
        <v>0</v>
      </c>
      <c r="J30" s="108">
        <v>0</v>
      </c>
    </row>
    <row r="31" spans="2:10" ht="25.05" customHeight="1" x14ac:dyDescent="0.3">
      <c r="B31" s="205"/>
      <c r="C31" s="207" t="s">
        <v>171</v>
      </c>
      <c r="D31" s="207"/>
      <c r="E31" s="122">
        <v>2</v>
      </c>
      <c r="F31" s="122">
        <v>2</v>
      </c>
      <c r="G31" s="119">
        <v>4</v>
      </c>
      <c r="H31" s="113"/>
      <c r="I31" s="111">
        <v>0</v>
      </c>
      <c r="J31" s="111">
        <v>0</v>
      </c>
    </row>
    <row r="32" spans="2:10" ht="25.05" customHeight="1" x14ac:dyDescent="0.3">
      <c r="B32" s="205" t="s">
        <v>172</v>
      </c>
      <c r="C32" s="118" t="s">
        <v>4</v>
      </c>
      <c r="D32" s="105" t="s">
        <v>154</v>
      </c>
      <c r="E32" s="106">
        <v>2</v>
      </c>
      <c r="F32" s="112">
        <v>0</v>
      </c>
      <c r="G32" s="112">
        <v>2</v>
      </c>
      <c r="H32" s="107">
        <v>0</v>
      </c>
      <c r="I32" s="108">
        <v>0</v>
      </c>
      <c r="J32" s="108">
        <v>0</v>
      </c>
    </row>
    <row r="33" spans="2:10" ht="25.05" customHeight="1" x14ac:dyDescent="0.3">
      <c r="B33" s="205"/>
      <c r="C33" s="118" t="s">
        <v>6</v>
      </c>
      <c r="D33" s="114" t="s">
        <v>155</v>
      </c>
      <c r="E33" s="115">
        <v>1</v>
      </c>
      <c r="F33" s="115">
        <v>1</v>
      </c>
      <c r="G33" s="112">
        <v>2</v>
      </c>
      <c r="H33" s="107">
        <v>0</v>
      </c>
      <c r="I33" s="108">
        <v>0</v>
      </c>
      <c r="J33" s="108">
        <v>0</v>
      </c>
    </row>
    <row r="34" spans="2:10" ht="25.05" customHeight="1" x14ac:dyDescent="0.3">
      <c r="B34" s="205"/>
      <c r="C34" s="118" t="s">
        <v>8</v>
      </c>
      <c r="D34" s="105" t="s">
        <v>156</v>
      </c>
      <c r="E34" s="106">
        <v>1</v>
      </c>
      <c r="F34" s="106">
        <v>1</v>
      </c>
      <c r="G34" s="112">
        <v>2</v>
      </c>
      <c r="H34" s="107">
        <v>0</v>
      </c>
      <c r="I34" s="108">
        <v>0</v>
      </c>
      <c r="J34" s="108">
        <v>0</v>
      </c>
    </row>
    <row r="35" spans="2:10" ht="25.05" customHeight="1" x14ac:dyDescent="0.3">
      <c r="B35" s="205"/>
      <c r="C35" s="207" t="s">
        <v>173</v>
      </c>
      <c r="D35" s="207"/>
      <c r="E35" s="122">
        <v>4</v>
      </c>
      <c r="F35" s="122">
        <v>2</v>
      </c>
      <c r="G35" s="119">
        <v>6</v>
      </c>
      <c r="H35" s="113"/>
      <c r="I35" s="111">
        <v>0</v>
      </c>
      <c r="J35" s="111">
        <v>0</v>
      </c>
    </row>
    <row r="36" spans="2:10" ht="25.05" customHeight="1" x14ac:dyDescent="0.35">
      <c r="B36" s="213" t="s">
        <v>178</v>
      </c>
      <c r="C36" s="214"/>
      <c r="D36" s="215"/>
      <c r="E36" s="122">
        <v>29</v>
      </c>
      <c r="F36" s="122">
        <v>25</v>
      </c>
      <c r="G36" s="120">
        <v>54</v>
      </c>
      <c r="H36" s="116" t="s">
        <v>174</v>
      </c>
      <c r="I36" s="134">
        <v>0</v>
      </c>
      <c r="J36" s="117">
        <v>0</v>
      </c>
    </row>
    <row r="37" spans="2:10" x14ac:dyDescent="0.3">
      <c r="B37" s="101"/>
      <c r="C37" s="101"/>
      <c r="D37" s="101"/>
      <c r="E37" s="102"/>
      <c r="F37" s="102"/>
      <c r="G37" s="102"/>
      <c r="H37" s="103"/>
      <c r="I37" s="104"/>
      <c r="J37" s="104"/>
    </row>
    <row r="38" spans="2:10" x14ac:dyDescent="0.3">
      <c r="B38" s="132" t="s">
        <v>199</v>
      </c>
      <c r="C38" s="133"/>
      <c r="D38" s="133"/>
      <c r="E38" s="102"/>
      <c r="F38" s="102"/>
      <c r="G38" s="102"/>
      <c r="H38" s="103"/>
      <c r="I38" s="104"/>
      <c r="J38" s="104"/>
    </row>
  </sheetData>
  <mergeCells count="28">
    <mergeCell ref="B36:D36"/>
    <mergeCell ref="B1:J2"/>
    <mergeCell ref="B26:B28"/>
    <mergeCell ref="C28:D28"/>
    <mergeCell ref="B29:B31"/>
    <mergeCell ref="C31:D31"/>
    <mergeCell ref="B32:B35"/>
    <mergeCell ref="C35:D35"/>
    <mergeCell ref="B17:B19"/>
    <mergeCell ref="C19:D19"/>
    <mergeCell ref="B20:B22"/>
    <mergeCell ref="C22:D22"/>
    <mergeCell ref="B23:B25"/>
    <mergeCell ref="C25:D25"/>
    <mergeCell ref="B6:B9"/>
    <mergeCell ref="C9:D9"/>
    <mergeCell ref="B10:B12"/>
    <mergeCell ref="C12:D12"/>
    <mergeCell ref="B13:B16"/>
    <mergeCell ref="C16:D16"/>
    <mergeCell ref="H3:J3"/>
    <mergeCell ref="B4:B5"/>
    <mergeCell ref="C4:C5"/>
    <mergeCell ref="D4:D5"/>
    <mergeCell ref="E4:E5"/>
    <mergeCell ref="F4:F5"/>
    <mergeCell ref="G4:G5"/>
    <mergeCell ref="H4:J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16" workbookViewId="0">
      <selection activeCell="A11" sqref="A11"/>
    </sheetView>
  </sheetViews>
  <sheetFormatPr defaultColWidth="9.109375" defaultRowHeight="8.4" x14ac:dyDescent="0.15"/>
  <cols>
    <col min="1" max="1" width="30.33203125" style="82" customWidth="1"/>
    <col min="2" max="2" width="12.6640625" style="82" customWidth="1"/>
    <col min="3" max="3" width="19.88671875" style="82" customWidth="1"/>
    <col min="4" max="4" width="22" style="82" customWidth="1"/>
    <col min="5" max="5" width="28.33203125" style="82" customWidth="1"/>
    <col min="6" max="16384" width="9.109375" style="82"/>
  </cols>
  <sheetData>
    <row r="1" spans="1:5" ht="30" customHeight="1" x14ac:dyDescent="0.15">
      <c r="A1" s="218" t="s">
        <v>184</v>
      </c>
      <c r="B1" s="218"/>
      <c r="C1" s="218"/>
      <c r="D1" s="218"/>
      <c r="E1" s="218"/>
    </row>
    <row r="2" spans="1:5" s="84" customFormat="1" ht="34.799999999999997" customHeight="1" x14ac:dyDescent="0.45">
      <c r="A2" s="83" t="s">
        <v>187</v>
      </c>
      <c r="B2" s="83" t="s">
        <v>111</v>
      </c>
      <c r="C2" s="83" t="s">
        <v>193</v>
      </c>
      <c r="D2" s="83" t="s">
        <v>186</v>
      </c>
      <c r="E2" s="83" t="s">
        <v>181</v>
      </c>
    </row>
    <row r="3" spans="1:5" s="84" customFormat="1" ht="22.05" customHeight="1" x14ac:dyDescent="0.45">
      <c r="A3" s="85" t="s">
        <v>112</v>
      </c>
      <c r="B3" s="86" t="s">
        <v>113</v>
      </c>
      <c r="C3" s="128">
        <v>1</v>
      </c>
      <c r="D3" s="129"/>
      <c r="E3" s="87"/>
    </row>
    <row r="4" spans="1:5" s="84" customFormat="1" ht="22.05" customHeight="1" x14ac:dyDescent="0.45">
      <c r="A4" s="85" t="s">
        <v>114</v>
      </c>
      <c r="B4" s="86" t="s">
        <v>113</v>
      </c>
      <c r="C4" s="128">
        <v>1</v>
      </c>
      <c r="D4" s="129"/>
      <c r="E4" s="87"/>
    </row>
    <row r="5" spans="1:5" s="84" customFormat="1" ht="22.05" customHeight="1" x14ac:dyDescent="0.45">
      <c r="A5" s="88" t="s">
        <v>115</v>
      </c>
      <c r="B5" s="86" t="s">
        <v>113</v>
      </c>
      <c r="C5" s="128">
        <v>2</v>
      </c>
      <c r="D5" s="129"/>
      <c r="E5" s="87"/>
    </row>
    <row r="6" spans="1:5" s="84" customFormat="1" ht="22.05" customHeight="1" x14ac:dyDescent="0.45">
      <c r="A6" s="88" t="s">
        <v>116</v>
      </c>
      <c r="B6" s="86" t="s">
        <v>113</v>
      </c>
      <c r="C6" s="128">
        <v>2</v>
      </c>
      <c r="D6" s="129"/>
      <c r="E6" s="87"/>
    </row>
    <row r="7" spans="1:5" s="84" customFormat="1" ht="22.05" customHeight="1" x14ac:dyDescent="0.45">
      <c r="A7" s="88" t="s">
        <v>118</v>
      </c>
      <c r="B7" s="86" t="s">
        <v>113</v>
      </c>
      <c r="C7" s="128">
        <v>1</v>
      </c>
      <c r="D7" s="129"/>
      <c r="E7" s="87"/>
    </row>
    <row r="8" spans="1:5" s="84" customFormat="1" ht="22.05" customHeight="1" x14ac:dyDescent="0.45">
      <c r="A8" s="88" t="s">
        <v>119</v>
      </c>
      <c r="B8" s="86" t="s">
        <v>113</v>
      </c>
      <c r="C8" s="128">
        <v>1</v>
      </c>
      <c r="D8" s="129"/>
      <c r="E8" s="87"/>
    </row>
    <row r="9" spans="1:5" s="84" customFormat="1" ht="22.05" customHeight="1" x14ac:dyDescent="0.45">
      <c r="A9" s="85" t="s">
        <v>120</v>
      </c>
      <c r="B9" s="86" t="s">
        <v>113</v>
      </c>
      <c r="C9" s="128">
        <v>1</v>
      </c>
      <c r="D9" s="129"/>
      <c r="E9" s="87"/>
    </row>
    <row r="10" spans="1:5" s="84" customFormat="1" ht="30" customHeight="1" x14ac:dyDescent="0.45">
      <c r="A10" s="85" t="s">
        <v>194</v>
      </c>
      <c r="B10" s="86" t="s">
        <v>113</v>
      </c>
      <c r="C10" s="128">
        <v>12</v>
      </c>
      <c r="D10" s="129"/>
      <c r="E10" s="87"/>
    </row>
    <row r="11" spans="1:5" s="84" customFormat="1" ht="22.05" customHeight="1" x14ac:dyDescent="0.45">
      <c r="A11" s="88" t="s">
        <v>121</v>
      </c>
      <c r="B11" s="86" t="s">
        <v>113</v>
      </c>
      <c r="C11" s="128">
        <v>1</v>
      </c>
      <c r="D11" s="129"/>
      <c r="E11" s="87"/>
    </row>
    <row r="12" spans="1:5" s="84" customFormat="1" ht="22.05" customHeight="1" x14ac:dyDescent="0.45">
      <c r="A12" s="88" t="s">
        <v>122</v>
      </c>
      <c r="B12" s="86" t="s">
        <v>113</v>
      </c>
      <c r="C12" s="128">
        <v>1</v>
      </c>
      <c r="D12" s="129"/>
      <c r="E12" s="87"/>
    </row>
    <row r="13" spans="1:5" s="84" customFormat="1" ht="22.05" customHeight="1" x14ac:dyDescent="0.45">
      <c r="A13" s="85" t="s">
        <v>188</v>
      </c>
      <c r="B13" s="86" t="s">
        <v>113</v>
      </c>
      <c r="C13" s="128">
        <v>1</v>
      </c>
      <c r="D13" s="129"/>
      <c r="E13" s="87"/>
    </row>
    <row r="14" spans="1:5" s="84" customFormat="1" ht="22.05" customHeight="1" x14ac:dyDescent="0.45">
      <c r="A14" s="85" t="s">
        <v>123</v>
      </c>
      <c r="B14" s="86" t="s">
        <v>113</v>
      </c>
      <c r="C14" s="128">
        <v>1</v>
      </c>
      <c r="D14" s="129"/>
      <c r="E14" s="87"/>
    </row>
    <row r="15" spans="1:5" s="84" customFormat="1" ht="22.05" customHeight="1" x14ac:dyDescent="0.45">
      <c r="A15" s="88" t="s">
        <v>124</v>
      </c>
      <c r="B15" s="86" t="s">
        <v>113</v>
      </c>
      <c r="C15" s="128">
        <v>1</v>
      </c>
      <c r="D15" s="129"/>
      <c r="E15" s="87"/>
    </row>
    <row r="16" spans="1:5" s="84" customFormat="1" ht="22.05" customHeight="1" x14ac:dyDescent="0.45">
      <c r="A16" s="88" t="s">
        <v>125</v>
      </c>
      <c r="B16" s="86" t="s">
        <v>113</v>
      </c>
      <c r="C16" s="128">
        <v>1</v>
      </c>
      <c r="D16" s="129"/>
      <c r="E16" s="87"/>
    </row>
    <row r="17" spans="1:5" s="84" customFormat="1" ht="22.05" customHeight="1" x14ac:dyDescent="0.45">
      <c r="A17" s="85" t="s">
        <v>126</v>
      </c>
      <c r="B17" s="86" t="s">
        <v>113</v>
      </c>
      <c r="C17" s="128">
        <v>1</v>
      </c>
      <c r="D17" s="129"/>
      <c r="E17" s="87"/>
    </row>
    <row r="18" spans="1:5" s="84" customFormat="1" ht="28.8" customHeight="1" x14ac:dyDescent="0.45">
      <c r="A18" s="85" t="s">
        <v>127</v>
      </c>
      <c r="B18" s="86" t="s">
        <v>113</v>
      </c>
      <c r="C18" s="128">
        <v>2</v>
      </c>
      <c r="D18" s="129"/>
      <c r="E18" s="87"/>
    </row>
    <row r="19" spans="1:5" s="84" customFormat="1" ht="22.05" customHeight="1" x14ac:dyDescent="0.45">
      <c r="A19" s="89" t="s">
        <v>128</v>
      </c>
      <c r="B19" s="86" t="s">
        <v>113</v>
      </c>
      <c r="C19" s="128">
        <v>2</v>
      </c>
      <c r="D19" s="129"/>
      <c r="E19" s="87"/>
    </row>
    <row r="20" spans="1:5" s="84" customFormat="1" ht="22.05" customHeight="1" x14ac:dyDescent="0.45">
      <c r="A20" s="89" t="s">
        <v>129</v>
      </c>
      <c r="B20" s="86" t="s">
        <v>113</v>
      </c>
      <c r="C20" s="128">
        <v>1</v>
      </c>
      <c r="D20" s="129"/>
      <c r="E20" s="87"/>
    </row>
    <row r="21" spans="1:5" s="84" customFormat="1" ht="45.6" customHeight="1" x14ac:dyDescent="0.45">
      <c r="A21" s="89" t="s">
        <v>130</v>
      </c>
      <c r="B21" s="86" t="s">
        <v>113</v>
      </c>
      <c r="C21" s="128">
        <v>1</v>
      </c>
      <c r="D21" s="129"/>
      <c r="E21" s="87"/>
    </row>
    <row r="22" spans="1:5" s="84" customFormat="1" ht="40.200000000000003" customHeight="1" x14ac:dyDescent="0.45">
      <c r="A22" s="219" t="s">
        <v>178</v>
      </c>
      <c r="B22" s="219"/>
      <c r="C22" s="219"/>
      <c r="D22" s="127" t="s">
        <v>182</v>
      </c>
      <c r="E22" s="127" t="s">
        <v>182</v>
      </c>
    </row>
  </sheetData>
  <mergeCells count="2">
    <mergeCell ref="A1:E1"/>
    <mergeCell ref="A22:C2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A13" workbookViewId="0">
      <selection activeCell="H24" sqref="H24"/>
    </sheetView>
  </sheetViews>
  <sheetFormatPr defaultColWidth="9.109375" defaultRowHeight="19.2" x14ac:dyDescent="0.45"/>
  <cols>
    <col min="1" max="1" width="10.88671875" style="84" customWidth="1"/>
    <col min="2" max="2" width="68.77734375" style="84" customWidth="1"/>
    <col min="3" max="3" width="23" style="84" customWidth="1"/>
    <col min="4" max="4" width="21.6640625" style="84" customWidth="1"/>
    <col min="5" max="16384" width="9.109375" style="84"/>
  </cols>
  <sheetData>
    <row r="1" spans="1:4" x14ac:dyDescent="0.45">
      <c r="A1" s="226" t="s">
        <v>183</v>
      </c>
      <c r="B1" s="226"/>
      <c r="C1" s="226"/>
      <c r="D1" s="226"/>
    </row>
    <row r="2" spans="1:4" x14ac:dyDescent="0.45">
      <c r="A2" s="227"/>
      <c r="B2" s="227"/>
      <c r="C2" s="227"/>
      <c r="D2" s="227"/>
    </row>
    <row r="3" spans="1:4" ht="39" thickBot="1" x14ac:dyDescent="0.5">
      <c r="A3" s="83" t="s">
        <v>131</v>
      </c>
      <c r="B3" s="83" t="s">
        <v>132</v>
      </c>
      <c r="C3" s="83" t="s">
        <v>180</v>
      </c>
      <c r="D3" s="83" t="s">
        <v>181</v>
      </c>
    </row>
    <row r="4" spans="1:4" ht="76.8" customHeight="1" x14ac:dyDescent="0.45">
      <c r="A4" s="228" t="s">
        <v>133</v>
      </c>
      <c r="B4" s="90" t="s">
        <v>134</v>
      </c>
      <c r="C4" s="91"/>
      <c r="D4" s="92"/>
    </row>
    <row r="5" spans="1:4" ht="57.6" x14ac:dyDescent="0.45">
      <c r="A5" s="229"/>
      <c r="B5" s="88" t="s">
        <v>135</v>
      </c>
      <c r="C5" s="93"/>
      <c r="D5" s="94"/>
    </row>
    <row r="6" spans="1:4" x14ac:dyDescent="0.45">
      <c r="A6" s="229"/>
      <c r="B6" s="88" t="s">
        <v>136</v>
      </c>
      <c r="C6" s="93"/>
      <c r="D6" s="94"/>
    </row>
    <row r="7" spans="1:4" x14ac:dyDescent="0.45">
      <c r="A7" s="229"/>
      <c r="B7" s="88" t="s">
        <v>137</v>
      </c>
      <c r="C7" s="93"/>
      <c r="D7" s="94"/>
    </row>
    <row r="8" spans="1:4" x14ac:dyDescent="0.45">
      <c r="A8" s="229"/>
      <c r="B8" s="88" t="s">
        <v>138</v>
      </c>
      <c r="C8" s="93"/>
      <c r="D8" s="94"/>
    </row>
    <row r="9" spans="1:4" x14ac:dyDescent="0.45">
      <c r="A9" s="229"/>
      <c r="B9" s="88" t="s">
        <v>139</v>
      </c>
      <c r="C9" s="93"/>
      <c r="D9" s="94"/>
    </row>
    <row r="10" spans="1:4" ht="19.8" thickBot="1" x14ac:dyDescent="0.5">
      <c r="A10" s="229"/>
      <c r="B10" s="85" t="s">
        <v>140</v>
      </c>
      <c r="C10" s="93"/>
      <c r="D10" s="94"/>
    </row>
    <row r="11" spans="1:4" ht="19.8" thickBot="1" x14ac:dyDescent="0.5">
      <c r="A11" s="230"/>
      <c r="B11" s="220" t="s">
        <v>117</v>
      </c>
      <c r="C11" s="221"/>
      <c r="D11" s="125" t="s">
        <v>182</v>
      </c>
    </row>
    <row r="12" spans="1:4" ht="39" thickBot="1" x14ac:dyDescent="0.5">
      <c r="A12" s="83" t="s">
        <v>131</v>
      </c>
      <c r="B12" s="95" t="s">
        <v>132</v>
      </c>
      <c r="C12" s="83" t="s">
        <v>180</v>
      </c>
      <c r="D12" s="83" t="s">
        <v>181</v>
      </c>
    </row>
    <row r="13" spans="1:4" ht="57.6" x14ac:dyDescent="0.45">
      <c r="A13" s="223" t="s">
        <v>141</v>
      </c>
      <c r="B13" s="90" t="s">
        <v>142</v>
      </c>
      <c r="C13" s="91"/>
      <c r="D13" s="92"/>
    </row>
    <row r="14" spans="1:4" ht="38.4" x14ac:dyDescent="0.45">
      <c r="A14" s="224"/>
      <c r="B14" s="85" t="s">
        <v>143</v>
      </c>
      <c r="C14" s="93"/>
      <c r="D14" s="94"/>
    </row>
    <row r="15" spans="1:4" ht="57.6" x14ac:dyDescent="0.45">
      <c r="A15" s="224"/>
      <c r="B15" s="88" t="s">
        <v>144</v>
      </c>
      <c r="C15" s="93"/>
      <c r="D15" s="94"/>
    </row>
    <row r="16" spans="1:4" ht="38.4" x14ac:dyDescent="0.45">
      <c r="A16" s="224"/>
      <c r="B16" s="88" t="s">
        <v>145</v>
      </c>
      <c r="C16" s="93"/>
      <c r="D16" s="94"/>
    </row>
    <row r="17" spans="1:4" ht="19.8" thickBot="1" x14ac:dyDescent="0.5">
      <c r="A17" s="225"/>
      <c r="B17" s="96" t="s">
        <v>140</v>
      </c>
      <c r="C17" s="97"/>
      <c r="D17" s="98"/>
    </row>
    <row r="18" spans="1:4" x14ac:dyDescent="0.45">
      <c r="A18" s="220" t="s">
        <v>117</v>
      </c>
      <c r="B18" s="221"/>
      <c r="C18" s="222"/>
      <c r="D18" s="126" t="s">
        <v>182</v>
      </c>
    </row>
  </sheetData>
  <mergeCells count="5">
    <mergeCell ref="A18:C18"/>
    <mergeCell ref="B11:C11"/>
    <mergeCell ref="A13:A17"/>
    <mergeCell ref="A1:D2"/>
    <mergeCell ref="A4:A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15</vt:i4>
      </vt:variant>
    </vt:vector>
  </HeadingPairs>
  <TitlesOfParts>
    <vt:vector size="20" baseType="lpstr">
      <vt:lpstr>Modelo de planilha form. preço</vt:lpstr>
      <vt:lpstr>Memorial de cálculo</vt:lpstr>
      <vt:lpstr>Modelo de proposta</vt:lpstr>
      <vt:lpstr>Mod. planilha Equip.material</vt:lpstr>
      <vt:lpstr>Mod. planilha Uniforme</vt:lpstr>
      <vt:lpstr>AL_1_A_SAL_BASE_12X36_DIU</vt:lpstr>
      <vt:lpstr>AL_2_2_FGTS_12X36_DIU</vt:lpstr>
      <vt:lpstr>AL_6_A_CUSTOS_INDIRETOS_12X36_DIU</vt:lpstr>
      <vt:lpstr>AL_6_B_LUCRO_12X36_DIU</vt:lpstr>
      <vt:lpstr>AL_6_C_TRIBUTOS_12X36_DIU</vt:lpstr>
      <vt:lpstr>EMPREG_POR_POSTO_12X36_DIU</vt:lpstr>
      <vt:lpstr>MOD_1_REMUNERACAO_12X36_DIU</vt:lpstr>
      <vt:lpstr>MOD_3_PROVISAO_RESCISAO_12X36_DIU</vt:lpstr>
      <vt:lpstr>MOD_5_INSUMOS_12X36_DIU</vt:lpstr>
      <vt:lpstr>MOD_6_CUSTOS_IND_LUCRO_TRIB_12X36_DIU</vt:lpstr>
      <vt:lpstr>PERC_GPS_FGTS</vt:lpstr>
      <vt:lpstr>SUBMOD_2_1_DEC_TERC_ADIC_FERIAS_12X36_DIU</vt:lpstr>
      <vt:lpstr>SUBMOD_2_2_GPS_FGTS_12X36_DIU</vt:lpstr>
      <vt:lpstr>SUBMOD_2_3_BENEFICIOS_12X36_DIU</vt:lpstr>
      <vt:lpstr>VALOR_TOTAL_EMPREGADO_12x36_DIU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Ricardo</dc:creator>
  <cp:lastModifiedBy>Carlos Ricardo</cp:lastModifiedBy>
  <dcterms:created xsi:type="dcterms:W3CDTF">2020-09-18T00:20:45Z</dcterms:created>
  <dcterms:modified xsi:type="dcterms:W3CDTF">2020-10-19T13:08:09Z</dcterms:modified>
</cp:coreProperties>
</file>