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ERÇÃO-DE-DADOS" sheetId="1" state="visible" r:id="rId2"/>
    <sheet name="DADOS-ESTATISTICOS" sheetId="2" state="visible" r:id="rId3"/>
    <sheet name="ENCARGOS-SOCIAIS-E-TRABALHISTAS" sheetId="3" state="visible" r:id="rId4"/>
    <sheet name="PRMS EM CAMPO GRANDE" sheetId="4" state="visible" r:id="rId5"/>
    <sheet name="PRM DOURADOS" sheetId="5" state="visible" r:id="rId6"/>
    <sheet name="PRM TRÊS LAGOAS" sheetId="6" state="visible" r:id="rId7"/>
    <sheet name="PRM CORUMBÁ" sheetId="7" state="visible" r:id="rId8"/>
    <sheet name="PRM NAVIRAÍ" sheetId="8" state="visible" r:id="rId9"/>
    <sheet name="UNIFORMES" sheetId="9" state="visible" r:id="rId10"/>
    <sheet name="EQUIPAMENTOS" sheetId="10" state="visible" r:id="rId11"/>
    <sheet name="QUADRO-RESUMO" sheetId="11" state="visible" r:id="rId12"/>
    <sheet name="LIMITES-SEGES" sheetId="12" state="hidden" r:id="rId13"/>
  </sheets>
  <definedNames>
    <definedName function="false" hidden="false" localSheetId="1" name="_xlnm.Print_Area" vbProcedure="false">'DADOS-ESTATISTICOS'!$A$1:$F$45</definedName>
    <definedName function="false" hidden="false" localSheetId="2" name="_xlnm.Print_Area" vbProcedure="false">'ENCARGOS-SOCIAIS-E-TRABALHISTAS'!$A$1:$F$34</definedName>
    <definedName function="false" hidden="false" localSheetId="9" name="_xlnm.Print_Area" vbProcedure="false">EQUIPAMENTOS!$A$1:$J$68</definedName>
    <definedName function="false" hidden="false" localSheetId="0" name="_xlnm.Print_Area" vbProcedure="false">'INSERÇÃO-DE-DADOS'!$A$1:$J$99</definedName>
    <definedName function="false" hidden="false" localSheetId="6" name="_xlnm.Print_Area" vbProcedure="false">'PRM CORUMBÁ'!$A$1:$H$118</definedName>
    <definedName function="false" hidden="false" localSheetId="4" name="_xlnm.Print_Area" vbProcedure="false">'PRM DOURADOS'!$A$1:$H$118</definedName>
    <definedName function="false" hidden="false" localSheetId="7" name="_xlnm.Print_Area" vbProcedure="false">'PRM NAVIRAÍ'!$A$1:$H$118</definedName>
    <definedName function="false" hidden="false" localSheetId="3" name="_xlnm.Print_Area" vbProcedure="false">'PRMS EM CAMPO GRANDE'!$A$1:$H$118</definedName>
    <definedName function="false" hidden="false" localSheetId="10" name="_xlnm.Print_Area" vbProcedure="false">'QUADRO-RESUMO'!$A$1:$H$85</definedName>
    <definedName function="false" hidden="false" localSheetId="8" name="_xlnm.Print_Area" vbProcedure="false">UNIFORMES!$A$1:$G$16</definedName>
    <definedName function="false" hidden="false" name="ACORDO_COLETIVO" vbProcedure="false">'INSERÇÃO-DE-DADOS'!$F$14</definedName>
    <definedName function="false" hidden="false" name="ALIMENTACAO_POR_DIA" vbProcedure="false">'INSERÇÃO-DE-DADOS'!$F$70</definedName>
    <definedName function="false" hidden="false" name="AL_1_A_SAL_BASE_12X36_DIU" vbProcedure="false">#REF!</definedName>
    <definedName function="false" hidden="false" name="AL_1_A_SAL_BASE_12X36_NOT" vbProcedure="false">'PRMS EM CAMPO GRANDE'!$F$25</definedName>
    <definedName function="false" hidden="false" name="AL_1_A_SAL_BASE_44H" vbProcedure="false">#REF!</definedName>
    <definedName function="false" hidden="false" name="AL_1_B_ADIC_PERIC_12X36_DIU" vbProcedure="false">#REF!</definedName>
    <definedName function="false" hidden="false" name="AL_1_B_ADIC_PERIC_12X36_NOT" vbProcedure="false">'PRMS EM CAMPO GRANDE'!$F$26</definedName>
    <definedName function="false" hidden="false" name="AL_1_B_ADIC_PERIC_44H" vbProcedure="false">#REF!</definedName>
    <definedName function="false" hidden="false" name="AL_1_C_ADIC_NOT_12X36_NOT" vbProcedure="false">'PRMS EM CAMPO GRANDE'!$F$27</definedName>
    <definedName function="false" hidden="false" name="AL_1_D_ADIC_NOT_RED_12X36_NOT" vbProcedure="false">'PRMS EM CAMPO GRANDE'!$F$28</definedName>
    <definedName function="false" hidden="false" name="AL_1_E_OUTROS_REM_12X36_NOT" vbProcedure="false">'posto 12x36 horas - noturno'!#ref!</definedName>
    <definedName function="false" hidden="false" name="AL_2_1_A_DEC_TERC_12X36_DIU" vbProcedure="false">#REF!</definedName>
    <definedName function="false" hidden="false" name="AL_2_1_A_DEC_TERC_12X36_NOT" vbProcedure="false">'PRMS EM CAMPO GRANDE'!$F$37</definedName>
    <definedName function="false" hidden="false" name="AL_2_1_B_ADIC_FERIAS_12X36_DIU" vbProcedure="false">#REF!</definedName>
    <definedName function="false" hidden="false" name="AL_2_1_B_ADIC_FERIAS_12X36_NOT" vbProcedure="false">'PRMS EM CAMPO GRANDE'!$F$38</definedName>
    <definedName function="false" hidden="false" name="AL_2_2_FGTS_12X36_DIU" vbProcedure="false">#REF!</definedName>
    <definedName function="false" hidden="false" name="AL_2_2_FGTS_12X36_NOT" vbProcedure="false">'PRMS EM CAMPO GRANDE'!$F$50</definedName>
    <definedName function="false" hidden="false" name="AL_2_2_FGTS_44H" vbProcedure="false">#REF!</definedName>
    <definedName function="false" hidden="false" name="AL_2_3_A_TRANSP_12X36_DIU" vbProcedure="false">#REF!</definedName>
    <definedName function="false" hidden="false" name="AL_2_3_A_TRANSP_12X36_NOT" vbProcedure="false">'PRMS EM CAMPO GRANDE'!$F$55</definedName>
    <definedName function="false" hidden="false" name="AL_2_3_A_TRANSP_44H" vbProcedure="false">#REF!</definedName>
    <definedName function="false" hidden="false" name="AL_2_3_B_AUX_ALIMENT_12X36_DIU" vbProcedure="false">#REF!</definedName>
    <definedName function="false" hidden="false" name="AL_2_3_B_AUX_ALIMENT_12X36_NOT" vbProcedure="false">'PRMS EM CAMPO GRANDE'!$F$56</definedName>
    <definedName function="false" hidden="false" name="AL_2_3_B_AUX_ALIMENT_44H" vbProcedure="false">#REF!</definedName>
    <definedName function="false" hidden="false" name="AL_2_3_C_OUTROS_BENEF_12X36_DIU" vbProcedure="false">#REF!</definedName>
    <definedName function="false" hidden="false" name="AL_2_3_C_OUTROS_BENEF_12X36_NOT" vbProcedure="false">'posto 12x36 horas - noturno'!#ref!</definedName>
    <definedName function="false" hidden="false" name="AL_2_A_ATE_2_G_GPS_12X36_NOT" vbProcedure="false">'PRMS EM CAMPO GRANDE'!$F$43:$F$49</definedName>
    <definedName function="false" hidden="false" name="AL_6_A_CUSTOS_INDIRETOS_12X36_DIU" vbProcedure="false">#REF!</definedName>
    <definedName function="false" hidden="false" name="AL_6_A_CUSTOS_INDIRETOS_12X36_NOT" vbProcedure="false">'PRMS EM CAMPO GRANDE'!$F$101</definedName>
    <definedName function="false" hidden="false" name="AL_6_A_CUSTOS_INDIRETOS_44H" vbProcedure="false">#REF!</definedName>
    <definedName function="false" hidden="false" name="AL_6_B_LUCRO_12X36_DIU" vbProcedure="false">#REF!</definedName>
    <definedName function="false" hidden="false" name="AL_6_B_LUCRO_12X36_NOT" vbProcedure="false">'PRMS EM CAMPO GRANDE'!$F$102</definedName>
    <definedName function="false" hidden="false" name="AL_6_B_LUCRO_44H" vbProcedure="false">#REF!</definedName>
    <definedName function="false" hidden="false" name="AL_6_C_1_PIS_12X36_DIU" vbProcedure="false">#REF!</definedName>
    <definedName function="false" hidden="false" name="AL_6_C_1_PIS_12X36_NOT" vbProcedure="false">'PRMS EM CAMPO GRANDE'!$F$104</definedName>
    <definedName function="false" hidden="false" name="AL_6_C_1_PIS_44H" vbProcedure="false">#REF!</definedName>
    <definedName function="false" hidden="false" name="AL_6_C_2_COFINS_12X36_DIU" vbProcedure="false">#REF!</definedName>
    <definedName function="false" hidden="false" name="AL_6_C_2_COFINS_12X36_NOT" vbProcedure="false">'PRMS EM CAMPO GRANDE'!$F$105</definedName>
    <definedName function="false" hidden="false" name="AL_6_C_2_COFINS_44H" vbProcedure="false">#REF!</definedName>
    <definedName function="false" hidden="false" name="AL_6_C_3_ISS_12X36_DIU" vbProcedure="false">#REF!</definedName>
    <definedName function="false" hidden="false" name="AL_6_C_3_ISS_12X36_NOT" vbProcedure="false">'PRMS EM CAMPO GRANDE'!$F$106</definedName>
    <definedName function="false" hidden="false" name="AL_6_C_3_ISS_44H" vbProcedure="false">#REF!</definedName>
    <definedName function="false" hidden="false" name="AL_6_C_TRIBUTOS_12X36_DIU" vbProcedure="false">#REF!</definedName>
    <definedName function="false" hidden="false" name="AL_6_C_TRIBUTOS_12X36_NOT" vbProcedure="false">'PRMS EM CAMPO GRANDE'!$F$103</definedName>
    <definedName function="false" hidden="false" name="AL_6_C_TRIBUTOS_44H" vbProcedure="false">#REF!</definedName>
    <definedName function="false" hidden="false" name="CATEGORIA_PROFISSIONAL" vbProcedure="false">'INSERÇÃO-DE-DADOS'!$D$37</definedName>
    <definedName function="false" hidden="false" name="CBO" vbProcedure="false">'INSERÇÃO-DE-DADOS'!$D$36</definedName>
    <definedName function="false" hidden="false" name="DATA_APRESENTACAO_PROPOSTA" vbProcedure="false">'INSERÇÃO-DE-DADOS'!$F$11</definedName>
    <definedName function="false" hidden="false" name="DATA_BASE_CATEGORIA" vbProcedure="false">'INSERÇÃO-DE-DADOS'!$F$38</definedName>
    <definedName function="false" hidden="false" name="DATA_DO_ORCAMENTO_ESTIMATIVO" vbProcedure="false">'INSERÇÃO-DE-DADOS'!$F$2</definedName>
    <definedName function="false" hidden="false" name="DATA_LICITACAO" vbProcedure="false">'INSERÇÃO-DE-DADOS'!$D$8</definedName>
    <definedName function="false" hidden="false" name="DIAS_AUSENCIAS_LEGAIS" vbProcedure="false">'DADOS-ESTATISTICOS'!$F$33</definedName>
    <definedName function="false" hidden="false" name="DIAS_LICENCA_MATERNIDADE" vbProcedure="false">'DADOS-ESTATISTICOS'!$F$39</definedName>
    <definedName function="false" hidden="false" name="DIAS_LICENCA_PATERNIDADE" vbProcedure="false">'DADOS-ESTATISTICOS'!$F$34</definedName>
    <definedName function="false" hidden="false" name="DIAS_NA_SEMANA" vbProcedure="false">'DADOS-ESTATISTICOS'!$F$5</definedName>
    <definedName function="false" hidden="false" name="DIAS_NO_ANO" vbProcedure="false">'DADOS-ESTATISTICOS'!$F$6</definedName>
    <definedName function="false" hidden="false" name="DIAS_NO_MES" vbProcedure="false">'DADOS-ESTATISTICOS'!$F$28</definedName>
    <definedName function="false" hidden="false" name="DIAS_PAGOS_EMPRESA_ACID_TRAB" vbProcedure="false">'DADOS-ESTATISTICOS'!$F$38</definedName>
    <definedName function="false" hidden="false" name="DIAS_TRABALHADOS_NO_MES_12X36" vbProcedure="false">'DADOS-ESTATISTICOS'!$F$18</definedName>
    <definedName function="false" hidden="false" name="DIAS_UTEIS_TRABALHADOS_NO_MES_44HORAS" vbProcedure="false">'DADOS-ESTATISTICOS'!$F$19</definedName>
    <definedName function="false" hidden="false" name="DIVISOR_DE_HORAS" vbProcedure="false">'DADOS-ESTATISTICOS'!$F$4</definedName>
    <definedName function="false" hidden="false" name="EMPREG_POR_POSTO_12X36_DIU" vbProcedure="false">#REF!</definedName>
    <definedName function="false" hidden="false" name="EMPREG_POR_POSTO_12X36_DIU_1" vbProcedure="false">'PRMS EM CAMPO GRANDE'!$G$21</definedName>
    <definedName function="false" hidden="false" name="EMPREG_POR_POSTO_12X36_NOT" vbProcedure="false">'PRMS EM CAMPO GRANDE'!$F$21</definedName>
    <definedName function="false" hidden="false" name="EMPREG_POR_POSTO_44H" vbProcedure="false">#REF!</definedName>
    <definedName function="false" hidden="false" name="EMPREG_POR_POSTO_44_1" vbProcedure="false">'PRMS EM CAMPO GRANDE'!$H$21</definedName>
    <definedName function="false" hidden="false" name="EQUIPAMENTOS" vbProcedure="false">#REF!</definedName>
    <definedName function="false" hidden="false" name="EQUIP_12X36_NOT" vbProcedure="false">EQUIPAMENTOS!$J$12</definedName>
    <definedName function="false" hidden="false" name="HORARIO_LICITACAO" vbProcedure="false">'INSERÇÃO-DE-DADOS'!$F$8</definedName>
    <definedName function="false" hidden="false" name="HORAS_EM_DOBRO" vbProcedure="false">'DADOS-ESTATISTICOS'!$F$11</definedName>
    <definedName function="false" hidden="false" name="HORA_NORMAL" vbProcedure="false">'DADOS-ESTATISTICOS'!$F$9</definedName>
    <definedName function="false" hidden="false" name="HORA_NOTURNA" vbProcedure="false">'DADOS-ESTATISTICOS'!$F$10</definedName>
    <definedName function="false" hidden="false" name="LIMITE_MÁXIMO_12X36_DIU_MS" vbProcedure="false">'LIMITES-SEGES'!$D$16</definedName>
    <definedName function="false" hidden="false" name="LIMITE_MÁXIMO_12X36_NOT_MS" vbProcedure="false">'LIMITES-SEGES'!$F$16</definedName>
    <definedName function="false" hidden="false" name="LIMITE_MÁXIMO_44_HORAS_MS" vbProcedure="false">'LIMITES-SEGES'!$H$16</definedName>
    <definedName function="false" hidden="false" name="LIMITE_MÍNIMO_12X36_DIU_MS" vbProcedure="false">'LIMITES-SEGES'!$C$16</definedName>
    <definedName function="false" hidden="false" name="LIMITE_MÍNIMO_12X36_NOT_MS" vbProcedure="false">'LIMITES-SEGES'!$E$16</definedName>
    <definedName function="false" hidden="false" name="LIMITE_MÍNIMO_44_HORAS_MS" vbProcedure="false">'LIMITES-SEGES'!$G$16</definedName>
    <definedName function="false" hidden="false" name="LOCAL_DE_EXECUCAO" vbProcedure="false">'INSERÇÃO-DE-DADOS'!$D$12</definedName>
    <definedName function="false" hidden="false" name="MATERIAIS" vbProcedure="false">#REF!</definedName>
    <definedName function="false" hidden="false" name="MEDIA_ANUAL_DIAS_TRABALHO_MES" vbProcedure="false">'DADOS-ESTATISTICOS'!$F$7</definedName>
    <definedName function="false" hidden="false" name="MESES_NO_ANO" vbProcedure="false">'DADOS-ESTATISTICOS'!$F$8</definedName>
    <definedName function="false" hidden="false" name="MODALIDADE_DE_LICITACAO" vbProcedure="false">'INSERÇÃO-DE-DADOS'!$D$7</definedName>
    <definedName function="false" hidden="false" name="MOD_1_REMUNERACAO_12X36_DIU" vbProcedure="false">#REF!</definedName>
    <definedName function="false" hidden="false" name="MOD_1_REMUNERACAO_12X36_NOT" vbProcedure="false">'PRMS EM CAMPO GRANDE'!$F$32</definedName>
    <definedName function="false" hidden="false" name="MOD_1_REMUNERACAO_44H" vbProcedure="false">#REF!</definedName>
    <definedName function="false" hidden="false" name="MOD_1_REMUNERAÇÃO_12X36_DIU_1" vbProcedure="false">'PRMS EM CAMPO GRANDE'!$G$32</definedName>
    <definedName function="false" hidden="false" name="MOD_2_ENCARGOS_BENEFICIOS_12X36_DIU" vbProcedure="false">#REF!+#REF!+#REF!</definedName>
    <definedName function="false" hidden="false" name="MOD_2_ENCARGOS_BENEFICIOS_12X36_NOT" vbProcedure="false">'PRMS EM CAMPO GRANDE'!$F$39+'PRMS EM CAMPO GRANDE'!$F$51+'PRMS EM CAMPO GRANDE'!$F$60</definedName>
    <definedName function="false" hidden="false" name="MOD_2_ENCARGOS_BENEFICIOS_44H" vbProcedure="false">#REF!+#REF!+#REF!</definedName>
    <definedName function="false" hidden="false" name="MOD_3_PROVISAO_RESCISAO_12X36_DIU" vbProcedure="false">#REF!</definedName>
    <definedName function="false" hidden="false" name="MOD_3_PROVISAO_RESCISAO_12X36_NOT" vbProcedure="false">'PRMS EM CAMPO GRANDE'!$F$70</definedName>
    <definedName function="false" hidden="false" name="MOD_3_PROVISAO_RESCISAO_44H" vbProcedure="false">#REF!</definedName>
    <definedName function="false" hidden="false" name="MOD_4_CUSTO_REPOSICAO_12X36_DIU" vbProcedure="false">#REF!+#REF!</definedName>
    <definedName function="false" hidden="false" name="MOD_4_CUSTO_REPOSICAO_12X36_NOT" vbProcedure="false">'PRMS EM CAMPO GRANDE'!$F$82+'PRMS EM CAMPO GRANDE'!$F$87</definedName>
    <definedName function="false" hidden="false" name="MOD_4_CUSTO_REPOSICAO_44H" vbProcedure="false">#REF!+#REF!</definedName>
    <definedName function="false" hidden="false" name="MOD_5_INSUMOS_12X36_DIU" vbProcedure="false">#REF!</definedName>
    <definedName function="false" hidden="false" name="MOD_5_INSUMOS_12X36_NOT" vbProcedure="false">'PRMS EM CAMPO GRANDE'!$F$96</definedName>
    <definedName function="false" hidden="false" name="MOD_5_INSUMOS_44H" vbProcedure="false">#REF!</definedName>
    <definedName function="false" hidden="false" name="MOD_6_CUSTOS_IND_LUCRO_TRIB_12X36_DIU" vbProcedure="false">#REF!</definedName>
    <definedName function="false" hidden="false" name="MOD_6_CUSTOS_IND_LUCRO_TRIB_12X36_NOT" vbProcedure="false">'PRMS EM CAMPO GRANDE'!$F$107</definedName>
    <definedName function="false" hidden="false" name="MOD_6_CUSTOS_IND_LUCRO_TRIB_44H" vbProcedure="false">#REF!</definedName>
    <definedName function="false" hidden="false" name="NADA" vbProcedure="false">EQUIPAMENTOS!$J$22</definedName>
    <definedName function="false" hidden="false" name="NUMERO_MESES_EXEC_CONTRATUAL" vbProcedure="false">'INSERÇÃO-DE-DADOS'!$F$15</definedName>
    <definedName function="false" hidden="false" name="NUMERO_PREGAO" vbProcedure="false">'INSERÇÃO-DE-DADOS'!$F$7</definedName>
    <definedName function="false" hidden="false" name="NUMERO_PROCESSO" vbProcedure="false">'INSERÇÃO-DE-DADOS'!$D$6</definedName>
    <definedName function="false" hidden="false" name="OUTRAS_AUSENCIAS" vbProcedure="false">'ENCARGOS-SOCIAIS-E-TRABALHISTAS'!$E$34</definedName>
    <definedName function="false" hidden="false" name="OUTRAS_AUSENCIAS_DESCRICAO" vbProcedure="false">'INSERÇÃO-DE-DADOS'!$C$78</definedName>
    <definedName function="false" hidden="false" name="OUTROS_BENEFICIOS_1" vbProcedure="false">'INSERÇÃO-DE-DADOS'!$F$71</definedName>
    <definedName function="false" hidden="false" name="OUTROS_BENEFICIOS_1_DESCRICAO" vbProcedure="false">'INSERÇÃO-DE-DADOS'!$C$71</definedName>
    <definedName function="false" hidden="false" name="OUTROS_BENEFICIOS_2" vbProcedure="false">'INSERÇÃO-DE-DADOS'!$F$72</definedName>
    <definedName function="false" hidden="false" name="OUTROS_BENEFICIOS_2_DESCRICAO" vbProcedure="false">'INSERÇÃO-DE-DADOS'!$C$72</definedName>
    <definedName function="false" hidden="false" name="OUTROS_BENEFICIOS_3" vbProcedure="false">'INSERÇÃO-DE-DADOS'!$F$73</definedName>
    <definedName function="false" hidden="false" name="OUTROS_BENEFICIOS_3_DESCRICAO" vbProcedure="false">'INSERÇÃO-DE-DADOS'!$C$73</definedName>
    <definedName function="false" hidden="false" name="OUTROS_INSUMOS" vbProcedure="false">#REF!</definedName>
    <definedName function="false" hidden="false" name="OUTROS_INSUMOS_DESCRICAO" vbProcedure="false">#REF!</definedName>
    <definedName function="false" hidden="false" name="OUTROS_REMUNERACAO_1" vbProcedure="false">'INSERÇÃO-DE-DADOS'!$F$47</definedName>
    <definedName function="false" hidden="false" name="OUTROS_REMUNERACAO_1_DESCRICAO" vbProcedure="false">'INSERÇÃO-DE-DADOS'!$C$47:$E$47</definedName>
    <definedName function="false" hidden="false" name="OUTROS_REMUNERACAO_2" vbProcedure="false">'INSERÇÃO-DE-DADOS'!$F$48</definedName>
    <definedName function="false" hidden="false" name="OUTROS_REMUNERACAO_2_DESCRICAO" vbProcedure="false">'INSERÇÃO-DE-DADOS'!$C$48:$E$48</definedName>
    <definedName function="false" hidden="false" name="OUTROS_REMUNERACAO_3" vbProcedure="false">'INSERÇÃO-DE-DADOS'!$F$49</definedName>
    <definedName function="false" hidden="false" name="OUTROS_REMUNERACAO_3_DESCRICAO" vbProcedure="false">'INSERÇÃO-DE-DADOS'!$C$49:$E$49</definedName>
    <definedName function="false" hidden="false" name="PERC_ADIC_FERIAS" vbProcedure="false">'ENCARGOS-SOCIAIS-E-TRABALHISTAS'!$E$6</definedName>
    <definedName function="false" hidden="false" name="PERC_ADIC_NOT" vbProcedure="false">'INSERÇÃO-DE-DADOS'!$F$46</definedName>
    <definedName function="false" hidden="false" name="PERC_ADIC_PERIC" vbProcedure="false">'INSERÇÃO-DE-DADOS'!$F$45</definedName>
    <definedName function="false" hidden="false" name="PERC_AVISO_PREVIO_IND" vbProcedure="false">'ENCARGOS-SOCIAIS-E-TRABALHISTAS'!$E$20</definedName>
    <definedName function="false" hidden="false" name="PERC_AVISO_PREVIO_TRAB" vbProcedure="false">'ENCARGOS-SOCIAIS-E-TRABALHISTAS'!$E$23</definedName>
    <definedName function="false" hidden="false" name="PERC_COFINS" vbProcedure="false">'INSERÇÃO-DE-DADOS'!$F$95</definedName>
    <definedName function="false" hidden="false" name="PERC_CONTRIB_SOCIAL" vbProcedure="false">'DADOS-ESTATISTICOS'!$F$26</definedName>
    <definedName function="false" hidden="false" name="PERC_CUSTOS_INDIRETOS" vbProcedure="false">'INSERÇÃO-DE-DADOS'!$F$91</definedName>
    <definedName function="false" hidden="false" name="PERC_CUSTOS_INDIRETOS_CORUMBA" vbProcedure="false">'INSERÇÃO-DE-DADOS'!$I$91</definedName>
    <definedName function="false" hidden="false" name="PERC_CUSTOS_INDIRETOS_DOU" vbProcedure="false">'INSERÇÃO-DE-DADOS'!$G$91</definedName>
    <definedName function="false" hidden="false" name="PERC_CUSTOS_INDIRETOS_NAVIRAI" vbProcedure="false">'INSERÇÃO-DE-DADOS'!$J$91</definedName>
    <definedName function="false" hidden="false" name="PERC_CUSTOS_INDIRETOS_TL" vbProcedure="false">'INSERÇÃO-DE-DADOS'!$H$91</definedName>
    <definedName function="false" hidden="false" name="PERC_DEC_TERC" vbProcedure="false">'ENCARGOS-SOCIAIS-E-TRABALHISTAS'!$E$5</definedName>
    <definedName function="false" hidden="false" name="PERC_DESC_ALIMENTACAO" vbProcedure="false">'DADOS-ESTATISTICOS'!$F$17</definedName>
    <definedName function="false" hidden="false" name="PERC_DESC_TRANSP_REMUNERACAO" vbProcedure="false">'DADOS-ESTATISTICOS'!$F$16</definedName>
    <definedName function="false" hidden="false" name="PERC_DE_CUSTOS_INDIRETOS_DOU" vbProcedure="false">'INSERÇÃO-DE-DADOS'!$G$91</definedName>
    <definedName function="false" hidden="false" name="PERC_EMPREG_AFAST_TRAB" vbProcedure="false">'DADOS-ESTATISTICOS'!$F$37</definedName>
    <definedName function="false" hidden="false" name="PERC_EMPREG_AVISO_PREVIO_IND" vbProcedure="false">'DADOS-ESTATISTICOS'!$F$24</definedName>
    <definedName function="false" hidden="false" name="PERC_EMPREG_AVISO_PREVIO_TRAB" vbProcedure="false">'DADOS-ESTATISTICOS'!$F$27</definedName>
    <definedName function="false" hidden="false" name="PERC_EMPREG_DEMIT_SEM_JUSTA_CAUSA_TOTAL_DESLIG" vbProcedure="false">'DADOS-ESTATISTICOS'!$F$23</definedName>
    <definedName function="false" hidden="false" name="PERC_FGTS" vbProcedure="false">'ENCARGOS-SOCIAIS-E-TRABALHISTAS'!$E$16</definedName>
    <definedName function="false" hidden="false" name="PERC_FGTS_AVISO_PREV_IND" vbProcedure="false">'ENCARGOS-SOCIAIS-E-TRABALHISTAS'!$E$21</definedName>
    <definedName function="false" hidden="false" name="PERC_GPS_FGTS" vbProcedure="false">'ENCARGOS-SOCIAIS-E-TRABALHISTAS'!$E$17</definedName>
    <definedName function="false" hidden="false" name="PERC_GPS_FGTS_AVISO_PREVIO_TRAB" vbProcedure="false">'ENCARGOS-SOCIAIS-E-TRABALHISTAS'!$E$24</definedName>
    <definedName function="false" hidden="false" name="PERC_HORA_EXTRA" vbProcedure="false">'INSERÇÃO-DE-DADOS'!$F$82</definedName>
    <definedName function="false" hidden="false" name="PERC_HORA_NOTURNA_REDUZIDA" vbProcedure="false">'DADOS-ESTATISTICOS'!$F$12</definedName>
    <definedName function="false" hidden="false" name="PERC_INCRA" vbProcedure="false">'ENCARGOS-SOCIAIS-E-TRABALHISTAS'!$E$15</definedName>
    <definedName function="false" hidden="false" name="PERC_INSS" vbProcedure="false">'ENCARGOS-SOCIAIS-E-TRABALHISTAS'!$E$9</definedName>
    <definedName function="false" hidden="false" name="PERC_ISS" vbProcedure="false">'INSERÇÃO-DE-DADOS'!$F$96</definedName>
    <definedName function="false" hidden="false" name="PERC_ISS_CORUMBA" vbProcedure="false">'INSERÇÃO-DE-DADOS'!$I$96</definedName>
    <definedName function="false" hidden="false" name="PERC_ISS_DOU" vbProcedure="false">'INSERÇÃO-DE-DADOS'!$G$96</definedName>
    <definedName function="false" hidden="false" name="PERC_ISS_NAVIRAI" vbProcedure="false">'INSERÇÃO-DE-DADOS'!$J$96</definedName>
    <definedName function="false" hidden="false" name="PERC_ISS_TL" vbProcedure="false">'INSERÇÃO-DE-DADOS'!$H$96</definedName>
    <definedName function="false" hidden="false" name="PERC_LUCRO" vbProcedure="false">'INSERÇÃO-DE-DADOS'!$F$92</definedName>
    <definedName function="false" hidden="false" name="PERC_LUCRO_CORUMBA" vbProcedure="false">'INSERÇÃO-DE-DADOS'!$I$92</definedName>
    <definedName function="false" hidden="false" name="PERC_LUCRO_DOU" vbProcedure="false">'INSERÇÃO-DE-DADOS'!$G$92</definedName>
    <definedName function="false" hidden="false" name="PERC_LUCRO_NAVIRAI" vbProcedure="false">'INSERÇÃO-DE-DADOS'!$J$92</definedName>
    <definedName function="false" hidden="false" name="PERC_LUCRO_TL" vbProcedure="false">'INSERÇÃO-DE-DADOS'!$H$92</definedName>
    <definedName function="false" hidden="false" name="PERC_MOD_3_PROVISAO_RESCISAO" vbProcedure="false">'PRMS EM CAMPO GRANDE'!$E$70</definedName>
    <definedName function="false" hidden="false" name="PERC_MULTA_FGTS" vbProcedure="false">'DADOS-ESTATISTICOS'!$F$25</definedName>
    <definedName function="false" hidden="false" name="PERC_MULTA_FGTS_AV_PREV_IND" vbProcedure="false">'ENCARGOS-SOCIAIS-E-TRABALHISTAS'!$E$22</definedName>
    <definedName function="false" hidden="false" name="PERC_MULTA_FGTS_AV_PREV_TRAB" vbProcedure="false">'ENCARGOS-SOCIAIS-E-TRABALHISTAS'!$E$25</definedName>
    <definedName function="false" hidden="false" name="PERC_NASCIDOS_VIVOS_POPUL_FEM" vbProcedure="false">'DADOS-ESTATISTICOS'!$F$35</definedName>
    <definedName function="false" hidden="false" name="PERC_PARTIC_FEM_VIGIL" vbProcedure="false">'DADOS-ESTATISTICOS'!$F$40</definedName>
    <definedName function="false" hidden="false" name="PERC_PARTIC_MASC_VIGIL" vbProcedure="false">'DADOS-ESTATISTICOS'!$F$36</definedName>
    <definedName function="false" hidden="false" name="PERC_PIS" vbProcedure="false">'INSERÇÃO-DE-DADOS'!$F$94</definedName>
    <definedName function="false" hidden="false" name="PERC_RAT" vbProcedure="false">'ENCARGOS-SOCIAIS-E-TRABALHISTAS'!$E$11</definedName>
    <definedName function="false" hidden="false" name="PERC_SAL_EDUCACAO" vbProcedure="false">'ENCARGOS-SOCIAIS-E-TRABALHISTAS'!$E$10</definedName>
    <definedName function="false" hidden="false" name="PERC_SEBRAE" vbProcedure="false">'ENCARGOS-SOCIAIS-E-TRABALHISTAS'!$E$14</definedName>
    <definedName function="false" hidden="false" name="PERC_SENAC" vbProcedure="false">'ENCARGOS-SOCIAIS-E-TRABALHISTAS'!$E$13</definedName>
    <definedName function="false" hidden="false" name="PERC_SESC" vbProcedure="false">'ENCARGOS-SOCIAIS-E-TRABALHISTAS'!$E$12</definedName>
    <definedName function="false" hidden="false" name="PERC_SUBSTITUTO_ACID_TRAB" vbProcedure="false">'ENCARGOS-SOCIAIS-E-TRABALHISTAS'!$E$32</definedName>
    <definedName function="false" hidden="false" name="PERC_SUBSTITUTO_AFAST_MATERN" vbProcedure="false">'ENCARGOS-SOCIAIS-E-TRABALHISTAS'!$E$33</definedName>
    <definedName function="false" hidden="false" name="PERC_SUBSTITUTO_AUSENCIAS_LEGAIS" vbProcedure="false">'ENCARGOS-SOCIAIS-E-TRABALHISTAS'!$E$30</definedName>
    <definedName function="false" hidden="false" name="PERC_SUBSTITUTO_FERIAS" vbProcedure="false">'ENCARGOS-SOCIAIS-E-TRABALHISTAS'!$E$29</definedName>
    <definedName function="false" hidden="false" name="PERC_SUBSTITUTO_LICENCA_PATERNIDADE" vbProcedure="false">'ENCARGOS-SOCIAIS-E-TRABALHISTAS'!$E$31</definedName>
    <definedName function="false" hidden="false" name="PERC_SUBSTITUTO_OUTRAS_AUSENCIAS" vbProcedure="false">'INSERÇÃO-DE-DADOS'!$F$78</definedName>
    <definedName function="false" hidden="false" name="PERC_TRIBUTOS" vbProcedure="false">'PRMS EM CAMPO GRANDE'!$E$103</definedName>
    <definedName function="false" hidden="false" name="PERC_TRIBUTOS_DOU" vbProcedure="false">'PRM DOURADOS'!$E$103</definedName>
    <definedName function="false" hidden="false" name="POSTO_12X36_DIU" vbProcedure="false">'INSERÇÃO-DE-DADOS'!$C$19</definedName>
    <definedName function="false" hidden="false" name="POSTO_12X36_NOT" vbProcedure="false">'INSERÇÃO-DE-DADOS'!$C$20</definedName>
    <definedName function="false" hidden="false" name="POSTO_44H" vbProcedure="false">'INSERÇÃO-DE-DADOS'!$C$21</definedName>
    <definedName function="false" hidden="false" name="QTDE_DE_POSTOS_12X36_DIU" vbProcedure="false">'INSERÇÃO-DE-DADOS'!$F$19</definedName>
    <definedName function="false" hidden="false" name="QTDE_DE_POSTOS_12X36_NOT" vbProcedure="false">'INSERÇÃO-DE-DADOS'!$F$20</definedName>
    <definedName function="false" hidden="false" name="QTDE_DE_POSTOS_44H" vbProcedure="false">'INSERÇÃO-DE-DADOS'!$F$21</definedName>
    <definedName function="false" hidden="false" name="RAMO" vbProcedure="false">'INSERÇÃO-DE-DADOS'!$B$1</definedName>
    <definedName function="false" hidden="false" name="SALARIO_BASE" vbProcedure="false">'INSERÇÃO-DE-DADOS'!$F$44</definedName>
    <definedName function="false" hidden="false" name="SUBMOD_2_1_DEC_TERC_ADIC_FERIAS_12X36_DIU" vbProcedure="false">#REF!</definedName>
    <definedName function="false" hidden="false" name="SUBMOD_2_1_DEC_TERC_ADIC_FERIAS_12X36_NOT" vbProcedure="false">'PRMS EM CAMPO GRANDE'!$F$39</definedName>
    <definedName function="false" hidden="false" name="SUBMOD_2_1_DEC_TERC_ADIC_FERIAS_44H" vbProcedure="false">#REF!</definedName>
    <definedName function="false" hidden="false" name="SUBMOD_2_2_GPS_FGTS_12X36_DIU" vbProcedure="false">#REF!</definedName>
    <definedName function="false" hidden="false" name="SUBMOD_2_2_GPS_FGTS_12X36_NOT" vbProcedure="false">'PRMS EM CAMPO GRANDE'!$F$51</definedName>
    <definedName function="false" hidden="false" name="SUBMOD_2_2_GPS_FGTS_44H" vbProcedure="false">#REF!</definedName>
    <definedName function="false" hidden="false" name="SUBMOD_2_3_BENEFICIOS_12X36_DIU" vbProcedure="false">#REF!</definedName>
    <definedName function="false" hidden="false" name="SUBMOD_2_3_BENEFICIOS_12X36_NOT" vbProcedure="false">'PRMS EM CAMPO GRANDE'!$F$60</definedName>
    <definedName function="false" hidden="false" name="SUBMOD_2_3_BENEFICIOS_44H" vbProcedure="false">#REF!</definedName>
    <definedName function="false" hidden="false" name="SUBMOD_4_1_AUSENCIAS_LEGAIS_44H" vbProcedure="false">#REF!</definedName>
    <definedName function="false" hidden="false" name="SUBMOD_4_1_SUBSTITUTO_12X36_DIU" vbProcedure="false">#REF!</definedName>
    <definedName function="false" hidden="false" name="SUBMOD_4_1_SUBSTITUTO_12X36_NOT" vbProcedure="false">'PRMS EM CAMPO GRANDE'!$F$82</definedName>
    <definedName function="false" hidden="false" name="SUBMOD_4_1_SUBSTITUTO_44H" vbProcedure="false">#REF!</definedName>
    <definedName function="false" hidden="false" name="SUBMOD_4_2" vbProcedure="false">'INSERÇÃO-DE-DADOS'!$B$80</definedName>
    <definedName function="false" hidden="false" name="SUBMOD_4_2_INTRAJORNADA_12X36_DIU" vbProcedure="false">#REF!</definedName>
    <definedName function="false" hidden="false" name="SUBMOD_4_2_INTRAJORNADA_12X36_NOT" vbProcedure="false">'PRMS EM CAMPO GRANDE'!$F$87</definedName>
    <definedName function="false" hidden="false" name="SUBMOD_4_2_INTRAJORNADA_44H" vbProcedure="false">#REF!</definedName>
    <definedName function="false" hidden="false" name="TARIFA_CORUMBA" vbProcedure="false">'INSERÇÃO-DE-DADOS'!$F$68</definedName>
    <definedName function="false" hidden="false" name="TARIFA_DOURADOS" vbProcedure="false">'INSERÇÃO-DE-DADOS'!$F$66</definedName>
    <definedName function="false" hidden="false" name="TARIFA_NAVIRAI" vbProcedure="false">'INSERÇÃO-DE-DADOS'!$F$69</definedName>
    <definedName function="false" hidden="false" name="TARIFA_TRES_LAGOAS" vbProcedure="false">'INSERÇÃO-DE-DADOS'!$F$67</definedName>
    <definedName function="false" hidden="false" name="TEMPO_INTERVALO_REFEICAO" vbProcedure="false">'INSERÇÃO-DE-DADOS'!$F$83</definedName>
    <definedName function="false" hidden="false" name="TIPO_DE_SERVICO" vbProcedure="false">'INSERÇÃO-DE-DADOS'!$E$35</definedName>
    <definedName function="false" hidden="false" name="TRANSPORTE_POR_DIA" vbProcedure="false">'INSERÇÃO-DE-DADOS'!$F$65</definedName>
    <definedName function="false" hidden="false" name="UG" vbProcedure="false">'INSERÇÃO-DE-DADOS'!$B$2</definedName>
    <definedName function="false" hidden="false" name="UNIFORMES" vbProcedure="false">#REF!</definedName>
    <definedName function="false" hidden="false" name="VALOR_EQUIP_12X36_DIURNO" vbProcedure="false">EQUIPAMENTOS!$J$21</definedName>
    <definedName function="false" hidden="false" name="VALOR_EQUIP_12X36_NOT" vbProcedure="false">EQUIPAMENTOS!$J$12</definedName>
    <definedName function="false" hidden="false" name="VALOR_EQUIP_LEITOR_POSTO_12X36_TL" vbProcedure="false">#REF!</definedName>
    <definedName function="false" hidden="false" name="VALOR_EQUIP_LEITOR_POSTO_44_INT" vbProcedure="false">EQUIPAMENTOS!$J$60</definedName>
    <definedName function="false" hidden="false" name="VALOR_EQUIP_LEITOR_POSTO_44_INT_12X36_TL" vbProcedure="false">EQUIPAMENTOS!$J$60</definedName>
    <definedName function="false" hidden="false" name="VALOR_EQUIP_LEITOR_POSTO_44_SEDE_CG" vbProcedure="false">EQUIPAMENTOS!$J$52</definedName>
    <definedName function="false" hidden="false" name="VALOR_EQUIP_POSTO_12X36_DIU" vbProcedure="false">EQUIPAMENTOS!$J$22</definedName>
    <definedName function="false" hidden="false" name="VALOR_EQUIP_POSTO_44_HORAS" vbProcedure="false">EQUIPAMENTOS!$J$33</definedName>
    <definedName function="false" hidden="false" name="VALOR_EQUIP_USO_COMPART_12X36" vbProcedure="false">EQUIPAMENTOS!$J$43</definedName>
    <definedName function="false" hidden="false" name="VALOR_TOTAL_EMPREGADO_12x36_DIU" vbProcedure="false">#REF!</definedName>
    <definedName function="false" hidden="false" name="VALOR_TOTAL_EMPREGADO_12x36_NOT" vbProcedure="false">'PRMS EM CAMPO GRANDE'!$F$117</definedName>
    <definedName function="false" hidden="false" name="VALOR_TOTAL_EMPREGADO_44H" vbProcedure="false">#REF!</definedName>
    <definedName function="false" hidden="false" name="VALOR_TOTAL_POSTO_12x36_DIU" vbProcedure="false">#REF!</definedName>
    <definedName function="false" hidden="false" name="VALOR_TOTAL_POSTO_12x36_NOT" vbProcedure="false">'PRMS EM CAMPO GRANDE'!$F$118</definedName>
    <definedName function="false" hidden="false" name="VALOR_TOTAL_POSTO_44H" vbProcedure="false">#REF!</definedName>
    <definedName function="false" hidden="false" name="VALOR_UNIFORME_POSTO" vbProcedure="false">UNIFORMES!$G$16</definedName>
    <definedName function="false" hidden="false" localSheetId="0" name="_xlnm.Print_Area" vbProcedure="false">'INSERÇÃO-DE-DADOS'!$A$1:$J$99</definedName>
    <definedName function="false" hidden="false" localSheetId="1" name="_xlnm.Print_Area" vbProcedure="false">'DADOS-ESTATISTICOS'!$A$1:$F$45</definedName>
    <definedName function="false" hidden="false" localSheetId="2" name="_xlnm.Print_Area" vbProcedure="false">'ENCARGOS-SOCIAIS-E-TRABALHISTAS'!$A$1:$F$34</definedName>
    <definedName function="false" hidden="false" localSheetId="3" name="_xlnm.Print_Area" vbProcedure="false">'PRMS EM CAMPO GRANDE'!$A$1:$H$118</definedName>
    <definedName function="false" hidden="false" localSheetId="4" name="AL_1_A_SAL_BASE_12X36_NOT" vbProcedure="false">'PRM DOURADOS'!$F$25</definedName>
    <definedName function="false" hidden="false" localSheetId="4" name="AL_1_B_ADIC_PERIC_12X36_NOT" vbProcedure="false">'PRM DOURADOS'!$F$26</definedName>
    <definedName function="false" hidden="false" localSheetId="4" name="AL_1_C_ADIC_NOT_12X36_NOT" vbProcedure="false">'PRM DOURADOS'!$F$27</definedName>
    <definedName function="false" hidden="false" localSheetId="4" name="AL_1_D_ADIC_NOT_RED_12X36_NOT" vbProcedure="false">'PRM DOURADOS'!$F$28</definedName>
    <definedName function="false" hidden="false" localSheetId="4" name="AL_2_1_A_DEC_TERC_12X36_NOT" vbProcedure="false">'PRM DOURADOS'!$F$37</definedName>
    <definedName function="false" hidden="false" localSheetId="4" name="AL_2_1_B_ADIC_FERIAS_12X36_NOT" vbProcedure="false">'PRM DOURADOS'!$F$38</definedName>
    <definedName function="false" hidden="false" localSheetId="4" name="AL_2_2_FGTS_12X36_NOT" vbProcedure="false">'PRM DOURADOS'!$F$50</definedName>
    <definedName function="false" hidden="false" localSheetId="4" name="AL_2_3_A_TRANSP_12X36_NOT" vbProcedure="false">'PRM DOURADOS'!$F$55</definedName>
    <definedName function="false" hidden="false" localSheetId="4" name="AL_2_3_B_AUX_ALIMENT_12X36_NOT" vbProcedure="false">'PRM DOURADOS'!$F$56</definedName>
    <definedName function="false" hidden="false" localSheetId="4" name="AL_2_A_ATE_2_G_GPS_12X36_NOT" vbProcedure="false">'PRM DOURADOS'!$F$43:$F$49</definedName>
    <definedName function="false" hidden="false" localSheetId="4" name="AL_6_A_CUSTOS_INDIRETOS_12X36_NOT" vbProcedure="false">'PRM DOURADOS'!$F$101</definedName>
    <definedName function="false" hidden="false" localSheetId="4" name="AL_6_B_LUCRO_12X36_NOT" vbProcedure="false">'PRM DOURADOS'!$F$102</definedName>
    <definedName function="false" hidden="false" localSheetId="4" name="AL_6_C_1_PIS_12X36_NOT" vbProcedure="false">'PRM DOURADOS'!$F$104</definedName>
    <definedName function="false" hidden="false" localSheetId="4" name="AL_6_C_2_COFINS_12X36_NOT" vbProcedure="false">'PRM DOURADOS'!$F$105</definedName>
    <definedName function="false" hidden="false" localSheetId="4" name="AL_6_C_3_ISS_12X36_NOT" vbProcedure="false">'PRM DOURADOS'!$F$106</definedName>
    <definedName function="false" hidden="false" localSheetId="4" name="AL_6_C_TRIBUTOS_12X36_NOT" vbProcedure="false">'PRM DOURADOS'!$F$103</definedName>
    <definedName function="false" hidden="false" localSheetId="4" name="EMPREG_POR_POSTO_12X36_DIU_1" vbProcedure="false">'PRM DOURADOS'!$G$21</definedName>
    <definedName function="false" hidden="false" localSheetId="4" name="EMPREG_POR_POSTO_12X36_NOT" vbProcedure="false">'PRM DOURADOS'!$F$21</definedName>
    <definedName function="false" hidden="false" localSheetId="4" name="EMPREG_POR_POSTO_44_1" vbProcedure="false">'PRM DOURADOS'!$H$21</definedName>
    <definedName function="false" hidden="false" localSheetId="4" name="MOD_1_REMUNERACAO_12X36_NOT" vbProcedure="false">'PRM DOURADOS'!$F$32</definedName>
    <definedName function="false" hidden="false" localSheetId="4" name="MOD_1_REMUNERAÇÃO_12X36_DIU_1" vbProcedure="false">'PRM DOURADOS'!$G$32</definedName>
    <definedName function="false" hidden="false" localSheetId="4" name="MOD_2_ENCARGOS_BENEFICIOS_12X36_NOT" vbProcedure="false">'PRM DOURADOS'!$F$39+'PRM DOURADOS'!$F$51+'PRM DOURADOS'!$F$60</definedName>
    <definedName function="false" hidden="false" localSheetId="4" name="MOD_3_PROVISAO_RESCISAO_12X36_NOT" vbProcedure="false">'PRM DOURADOS'!$F$70</definedName>
    <definedName function="false" hidden="false" localSheetId="4" name="MOD_4_CUSTO_REPOSICAO_12X36_NOT" vbProcedure="false">'PRM DOURADOS'!$F$82+'PRM DOURADOS'!$F$87</definedName>
    <definedName function="false" hidden="false" localSheetId="4" name="MOD_5_INSUMOS_12X36_NOT" vbProcedure="false">'PRM DOURADOS'!$F$96</definedName>
    <definedName function="false" hidden="false" localSheetId="4" name="MOD_6_CUSTOS_IND_LUCRO_TRIB_12X36_NOT" vbProcedure="false">'PRM DOURADOS'!$F$107</definedName>
    <definedName function="false" hidden="false" localSheetId="4" name="PERC_MOD_3_PROVISAO_RESCISAO" vbProcedure="false">'PRM DOURADOS'!$E$70</definedName>
    <definedName function="false" hidden="false" localSheetId="4" name="PERC_TRIBUTOS" vbProcedure="false">'PRM DOURADOS'!$E$103</definedName>
    <definedName function="false" hidden="false" localSheetId="4" name="SUBMOD_2_1_DEC_TERC_ADIC_FERIAS_12X36_NOT" vbProcedure="false">'PRM DOURADOS'!$F$39</definedName>
    <definedName function="false" hidden="false" localSheetId="4" name="SUBMOD_2_2_GPS_FGTS_12X36_NOT" vbProcedure="false">'PRM DOURADOS'!$F$51</definedName>
    <definedName function="false" hidden="false" localSheetId="4" name="SUBMOD_2_3_BENEFICIOS_12X36_NOT" vbProcedure="false">'PRM DOURADOS'!$F$60</definedName>
    <definedName function="false" hidden="false" localSheetId="4" name="SUBMOD_4_1_SUBSTITUTO_12X36_NOT" vbProcedure="false">'PRM DOURADOS'!$F$82</definedName>
    <definedName function="false" hidden="false" localSheetId="4" name="SUBMOD_4_2_INTRAJORNADA_12X36_NOT" vbProcedure="false">'PRM DOURADOS'!$F$87</definedName>
    <definedName function="false" hidden="false" localSheetId="4" name="VALOR_TOTAL_EMPREGADO_12x36_NOT" vbProcedure="false">'PRM DOURADOS'!$F$117</definedName>
    <definedName function="false" hidden="false" localSheetId="4" name="VALOR_TOTAL_POSTO_12x36_NOT" vbProcedure="false">'PRM DOURADOS'!$F$118</definedName>
    <definedName function="false" hidden="false" localSheetId="4" name="_xlnm.Print_Area" vbProcedure="false">'PRM DOURADOS'!$A$1:$H$118</definedName>
    <definedName function="false" hidden="false" localSheetId="5" name="AL_1_A_SAL_BASE_12X36_NOT" vbProcedure="false">'PRM TRÊS LAGOAS'!$F$25</definedName>
    <definedName function="false" hidden="false" localSheetId="5" name="AL_1_B_ADIC_PERIC_12X36_NOT" vbProcedure="false">'PRM TRÊS LAGOAS'!$F$26</definedName>
    <definedName function="false" hidden="false" localSheetId="5" name="AL_1_C_ADIC_NOT_12X36_NOT" vbProcedure="false">'PRM TRÊS LAGOAS'!$F$27</definedName>
    <definedName function="false" hidden="false" localSheetId="5" name="AL_1_D_ADIC_NOT_RED_12X36_NOT" vbProcedure="false">'PRM TRÊS LAGOAS'!$F$28</definedName>
    <definedName function="false" hidden="false" localSheetId="5" name="AL_2_1_A_DEC_TERC_12X36_NOT" vbProcedure="false">'PRM TRÊS LAGOAS'!$F$37</definedName>
    <definedName function="false" hidden="false" localSheetId="5" name="AL_2_1_B_ADIC_FERIAS_12X36_NOT" vbProcedure="false">'PRM TRÊS LAGOAS'!$F$38</definedName>
    <definedName function="false" hidden="false" localSheetId="5" name="AL_2_2_FGTS_12X36_NOT" vbProcedure="false">'PRM TRÊS LAGOAS'!$F$50</definedName>
    <definedName function="false" hidden="false" localSheetId="5" name="AL_2_3_A_TRANSP_12X36_NOT" vbProcedure="false">'PRM TRÊS LAGOAS'!$F$55</definedName>
    <definedName function="false" hidden="false" localSheetId="5" name="AL_2_3_B_AUX_ALIMENT_12X36_NOT" vbProcedure="false">'PRM TRÊS LAGOAS'!$F$56</definedName>
    <definedName function="false" hidden="false" localSheetId="5" name="AL_2_A_ATE_2_G_GPS_12X36_NOT" vbProcedure="false">'PRM TRÊS LAGOAS'!$F$43:$F$49</definedName>
    <definedName function="false" hidden="false" localSheetId="5" name="AL_6_A_CUSTOS_INDIRETOS_12X36_NOT" vbProcedure="false">'PRM TRÊS LAGOAS'!$F$101</definedName>
    <definedName function="false" hidden="false" localSheetId="5" name="AL_6_B_LUCRO_12X36_NOT" vbProcedure="false">'PRM TRÊS LAGOAS'!$F$102</definedName>
    <definedName function="false" hidden="false" localSheetId="5" name="AL_6_C_1_PIS_12X36_NOT" vbProcedure="false">'PRM TRÊS LAGOAS'!$F$104</definedName>
    <definedName function="false" hidden="false" localSheetId="5" name="AL_6_C_2_COFINS_12X36_NOT" vbProcedure="false">'PRM TRÊS LAGOAS'!$F$105</definedName>
    <definedName function="false" hidden="false" localSheetId="5" name="AL_6_C_3_ISS_12X36_NOT" vbProcedure="false">'PRM TRÊS LAGOAS'!$F$106</definedName>
    <definedName function="false" hidden="false" localSheetId="5" name="AL_6_C_TRIBUTOS_12X36_NOT" vbProcedure="false">'PRM TRÊS LAGOAS'!$F$103</definedName>
    <definedName function="false" hidden="false" localSheetId="5" name="EMPREG_POR_POSTO_12X36_DIU_1" vbProcedure="false">'PRM TRÊS LAGOAS'!$G$21</definedName>
    <definedName function="false" hidden="false" localSheetId="5" name="EMPREG_POR_POSTO_12X36_NOT" vbProcedure="false">'PRM TRÊS LAGOAS'!$F$21</definedName>
    <definedName function="false" hidden="false" localSheetId="5" name="EMPREG_POR_POSTO_44_1" vbProcedure="false">'PRM TRÊS LAGOAS'!$H$21</definedName>
    <definedName function="false" hidden="false" localSheetId="5" name="MOD_1_REMUNERACAO_12X36_NOT" vbProcedure="false">'PRM TRÊS LAGOAS'!$F$32</definedName>
    <definedName function="false" hidden="false" localSheetId="5" name="MOD_1_REMUNERAÇÃO_12X36_DIU_1" vbProcedure="false">'PRM TRÊS LAGOAS'!$G$32</definedName>
    <definedName function="false" hidden="false" localSheetId="5" name="MOD_2_ENCARGOS_BENEFICIOS_12X36_NOT" vbProcedure="false">'PRM TRÊS LAGOAS'!$F$39+'PRM TRÊS LAGOAS'!$F$51+'PRM TRÊS LAGOAS'!$F$60</definedName>
    <definedName function="false" hidden="false" localSheetId="5" name="MOD_3_PROVISAO_RESCISAO_12X36_NOT" vbProcedure="false">'PRM TRÊS LAGOAS'!$F$70</definedName>
    <definedName function="false" hidden="false" localSheetId="5" name="MOD_4_CUSTO_REPOSICAO_12X36_NOT" vbProcedure="false">'PRM TRÊS LAGOAS'!$F$82+'PRM TRÊS LAGOAS'!$F$87</definedName>
    <definedName function="false" hidden="false" localSheetId="5" name="MOD_5_INSUMOS_12X36_NOT" vbProcedure="false">'PRM TRÊS LAGOAS'!$F$96</definedName>
    <definedName function="false" hidden="false" localSheetId="5" name="MOD_6_CUSTOS_IND_LUCRO_TRIB_12X36_NOT" vbProcedure="false">'PRM TRÊS LAGOAS'!$F$107</definedName>
    <definedName function="false" hidden="false" localSheetId="5" name="PERC_MOD_3_PROVISAO_RESCISAO" vbProcedure="false">'PRM TRÊS LAGOAS'!$E$70</definedName>
    <definedName function="false" hidden="false" localSheetId="5" name="PERC_TRIBUTOS" vbProcedure="false">'PRM TRÊS LAGOAS'!$E$103</definedName>
    <definedName function="false" hidden="false" localSheetId="5" name="SUBMOD_2_1_DEC_TERC_ADIC_FERIAS_12X36_NOT" vbProcedure="false">'PRM TRÊS LAGOAS'!$F$39</definedName>
    <definedName function="false" hidden="false" localSheetId="5" name="SUBMOD_2_2_GPS_FGTS_12X36_NOT" vbProcedure="false">'PRM TRÊS LAGOAS'!$F$51</definedName>
    <definedName function="false" hidden="false" localSheetId="5" name="SUBMOD_2_3_BENEFICIOS_12X36_NOT" vbProcedure="false">'PRM TRÊS LAGOAS'!$F$60</definedName>
    <definedName function="false" hidden="false" localSheetId="5" name="SUBMOD_4_1_SUBSTITUTO_12X36_NOT" vbProcedure="false">'PRM TRÊS LAGOAS'!$F$82</definedName>
    <definedName function="false" hidden="false" localSheetId="5" name="SUBMOD_4_2_INTRAJORNADA_12X36_NOT" vbProcedure="false">'PRM TRÊS LAGOAS'!$F$87</definedName>
    <definedName function="false" hidden="false" localSheetId="5" name="VALOR_TOTAL_EMPREGADO_12x36_NOT" vbProcedure="false">'PRM TRÊS LAGOAS'!$F$117</definedName>
    <definedName function="false" hidden="false" localSheetId="5" name="VALOR_TOTAL_POSTO_12x36_NOT" vbProcedure="false">'PRM TRÊS LAGOAS'!$F$118</definedName>
    <definedName function="false" hidden="false" localSheetId="6" name="AL_1_A_SAL_BASE_12X36_NOT" vbProcedure="false">'PRM CORUMBÁ'!$F$25</definedName>
    <definedName function="false" hidden="false" localSheetId="6" name="AL_1_B_ADIC_PERIC_12X36_NOT" vbProcedure="false">'PRM CORUMBÁ'!$F$26</definedName>
    <definedName function="false" hidden="false" localSheetId="6" name="AL_1_C_ADIC_NOT_12X36_NOT" vbProcedure="false">'PRM CORUMBÁ'!$F$27</definedName>
    <definedName function="false" hidden="false" localSheetId="6" name="AL_1_D_ADIC_NOT_RED_12X36_NOT" vbProcedure="false">'PRM CORUMBÁ'!$F$28</definedName>
    <definedName function="false" hidden="false" localSheetId="6" name="AL_2_1_A_DEC_TERC_12X36_NOT" vbProcedure="false">'PRM CORUMBÁ'!$F$37</definedName>
    <definedName function="false" hidden="false" localSheetId="6" name="AL_2_1_B_ADIC_FERIAS_12X36_NOT" vbProcedure="false">'PRM CORUMBÁ'!$F$38</definedName>
    <definedName function="false" hidden="false" localSheetId="6" name="AL_2_2_FGTS_12X36_NOT" vbProcedure="false">'PRM CORUMBÁ'!$F$50</definedName>
    <definedName function="false" hidden="false" localSheetId="6" name="AL_2_3_A_TRANSP_12X36_NOT" vbProcedure="false">'PRM CORUMBÁ'!$F$55</definedName>
    <definedName function="false" hidden="false" localSheetId="6" name="AL_2_3_B_AUX_ALIMENT_12X36_NOT" vbProcedure="false">'PRM CORUMBÁ'!$F$56</definedName>
    <definedName function="false" hidden="false" localSheetId="6" name="AL_2_A_ATE_2_G_GPS_12X36_NOT" vbProcedure="false">'PRM CORUMBÁ'!$F$43:$F$49</definedName>
    <definedName function="false" hidden="false" localSheetId="6" name="AL_6_A_CUSTOS_INDIRETOS_12X36_NOT" vbProcedure="false">'PRM CORUMBÁ'!$F$101</definedName>
    <definedName function="false" hidden="false" localSheetId="6" name="AL_6_B_LUCRO_12X36_NOT" vbProcedure="false">'PRM CORUMBÁ'!$F$102</definedName>
    <definedName function="false" hidden="false" localSheetId="6" name="AL_6_C_1_PIS_12X36_NOT" vbProcedure="false">'PRM CORUMBÁ'!$F$104</definedName>
    <definedName function="false" hidden="false" localSheetId="6" name="AL_6_C_2_COFINS_12X36_NOT" vbProcedure="false">'PRM CORUMBÁ'!$F$105</definedName>
    <definedName function="false" hidden="false" localSheetId="6" name="AL_6_C_3_ISS_12X36_NOT" vbProcedure="false">'PRM CORUMBÁ'!$F$106</definedName>
    <definedName function="false" hidden="false" localSheetId="6" name="AL_6_C_TRIBUTOS_12X36_NOT" vbProcedure="false">'PRM CORUMBÁ'!$F$103</definedName>
    <definedName function="false" hidden="false" localSheetId="6" name="EMPREG_POR_POSTO_12X36_DIU_1" vbProcedure="false">'PRM CORUMBÁ'!$G$21</definedName>
    <definedName function="false" hidden="false" localSheetId="6" name="EMPREG_POR_POSTO_12X36_NOT" vbProcedure="false">'PRM CORUMBÁ'!$F$21</definedName>
    <definedName function="false" hidden="false" localSheetId="6" name="EMPREG_POR_POSTO_44_1" vbProcedure="false">'PRM CORUMBÁ'!$H$21</definedName>
    <definedName function="false" hidden="false" localSheetId="6" name="MOD_1_REMUNERACAO_12X36_NOT" vbProcedure="false">'PRM CORUMBÁ'!$F$32</definedName>
    <definedName function="false" hidden="false" localSheetId="6" name="MOD_1_REMUNERAÇÃO_12X36_DIU_1" vbProcedure="false">'PRM CORUMBÁ'!$G$32</definedName>
    <definedName function="false" hidden="false" localSheetId="6" name="MOD_2_ENCARGOS_BENEFICIOS_12X36_NOT" vbProcedure="false">'PRM CORUMBÁ'!$F$39+'PRM CORUMBÁ'!$F$51+'PRM CORUMBÁ'!$F$60</definedName>
    <definedName function="false" hidden="false" localSheetId="6" name="MOD_3_PROVISAO_RESCISAO_12X36_NOT" vbProcedure="false">'PRM CORUMBÁ'!$F$70</definedName>
    <definedName function="false" hidden="false" localSheetId="6" name="MOD_4_CUSTO_REPOSICAO_12X36_NOT" vbProcedure="false">'PRM CORUMBÁ'!$F$82+'PRM CORUMBÁ'!$F$87</definedName>
    <definedName function="false" hidden="false" localSheetId="6" name="MOD_5_INSUMOS_12X36_NOT" vbProcedure="false">'PRM CORUMBÁ'!$F$96</definedName>
    <definedName function="false" hidden="false" localSheetId="6" name="MOD_6_CUSTOS_IND_LUCRO_TRIB_12X36_NOT" vbProcedure="false">'PRM CORUMBÁ'!$F$107</definedName>
    <definedName function="false" hidden="false" localSheetId="6" name="PERC_MOD_3_PROVISAO_RESCISAO" vbProcedure="false">'PRM CORUMBÁ'!$E$70</definedName>
    <definedName function="false" hidden="false" localSheetId="6" name="PERC_TRIBUTOS" vbProcedure="false">'PRM CORUMBÁ'!$E$103</definedName>
    <definedName function="false" hidden="false" localSheetId="6" name="SUBMOD_2_1_DEC_TERC_ADIC_FERIAS_12X36_NOT" vbProcedure="false">'PRM CORUMBÁ'!$F$39</definedName>
    <definedName function="false" hidden="false" localSheetId="6" name="SUBMOD_2_2_GPS_FGTS_12X36_NOT" vbProcedure="false">'PRM CORUMBÁ'!$F$51</definedName>
    <definedName function="false" hidden="false" localSheetId="6" name="SUBMOD_2_3_BENEFICIOS_12X36_NOT" vbProcedure="false">'PRM CORUMBÁ'!$F$60</definedName>
    <definedName function="false" hidden="false" localSheetId="6" name="SUBMOD_4_1_SUBSTITUTO_12X36_NOT" vbProcedure="false">'PRM CORUMBÁ'!$F$82</definedName>
    <definedName function="false" hidden="false" localSheetId="6" name="SUBMOD_4_2_INTRAJORNADA_12X36_NOT" vbProcedure="false">'PRM CORUMBÁ'!$F$87</definedName>
    <definedName function="false" hidden="false" localSheetId="6" name="VALOR_TOTAL_EMPREGADO_12x36_NOT" vbProcedure="false">'PRM CORUMBÁ'!$F$117</definedName>
    <definedName function="false" hidden="false" localSheetId="6" name="VALOR_TOTAL_POSTO_12x36_NOT" vbProcedure="false">'PRM CORUMBÁ'!$F$118</definedName>
    <definedName function="false" hidden="false" localSheetId="6" name="_xlnm.Print_Area" vbProcedure="false">'PRM CORUMBÁ'!$A$1:$H$118</definedName>
    <definedName function="false" hidden="false" localSheetId="7" name="AL_1_A_SAL_BASE_12X36_NOT" vbProcedure="false">'PRM NAVIRAÍ'!$F$25</definedName>
    <definedName function="false" hidden="false" localSheetId="7" name="AL_1_B_ADIC_PERIC_12X36_NOT" vbProcedure="false">'PRM NAVIRAÍ'!$F$26</definedName>
    <definedName function="false" hidden="false" localSheetId="7" name="AL_1_C_ADIC_NOT_12X36_NOT" vbProcedure="false">'PRM NAVIRAÍ'!$F$27</definedName>
    <definedName function="false" hidden="false" localSheetId="7" name="AL_1_D_ADIC_NOT_RED_12X36_NOT" vbProcedure="false">'PRM NAVIRAÍ'!$F$28</definedName>
    <definedName function="false" hidden="false" localSheetId="7" name="AL_2_1_A_DEC_TERC_12X36_NOT" vbProcedure="false">'PRM NAVIRAÍ'!$F$37</definedName>
    <definedName function="false" hidden="false" localSheetId="7" name="AL_2_1_B_ADIC_FERIAS_12X36_NOT" vbProcedure="false">'PRM NAVIRAÍ'!$F$38</definedName>
    <definedName function="false" hidden="false" localSheetId="7" name="AL_2_2_FGTS_12X36_NOT" vbProcedure="false">'PRM NAVIRAÍ'!$F$50</definedName>
    <definedName function="false" hidden="false" localSheetId="7" name="AL_2_3_A_TRANSP_12X36_NOT" vbProcedure="false">'PRM NAVIRAÍ'!$F$55</definedName>
    <definedName function="false" hidden="false" localSheetId="7" name="AL_2_3_B_AUX_ALIMENT_12X36_NOT" vbProcedure="false">'PRM NAVIRAÍ'!$F$56</definedName>
    <definedName function="false" hidden="false" localSheetId="7" name="AL_2_A_ATE_2_G_GPS_12X36_NOT" vbProcedure="false">'PRM NAVIRAÍ'!$F$43:$F$49</definedName>
    <definedName function="false" hidden="false" localSheetId="7" name="AL_6_A_CUSTOS_INDIRETOS_12X36_NOT" vbProcedure="false">'PRM NAVIRAÍ'!$F$101</definedName>
    <definedName function="false" hidden="false" localSheetId="7" name="AL_6_B_LUCRO_12X36_NOT" vbProcedure="false">'PRM NAVIRAÍ'!$F$102</definedName>
    <definedName function="false" hidden="false" localSheetId="7" name="AL_6_C_1_PIS_12X36_NOT" vbProcedure="false">'PRM NAVIRAÍ'!$F$104</definedName>
    <definedName function="false" hidden="false" localSheetId="7" name="AL_6_C_2_COFINS_12X36_NOT" vbProcedure="false">'PRM NAVIRAÍ'!$F$105</definedName>
    <definedName function="false" hidden="false" localSheetId="7" name="AL_6_C_3_ISS_12X36_NOT" vbProcedure="false">'PRM NAVIRAÍ'!$F$106</definedName>
    <definedName function="false" hidden="false" localSheetId="7" name="AL_6_C_TRIBUTOS_12X36_NOT" vbProcedure="false">'PRM NAVIRAÍ'!$F$103</definedName>
    <definedName function="false" hidden="false" localSheetId="7" name="EMPREG_POR_POSTO_12X36_DIU_1" vbProcedure="false">'PRM NAVIRAÍ'!$G$21</definedName>
    <definedName function="false" hidden="false" localSheetId="7" name="EMPREG_POR_POSTO_12X36_NOT" vbProcedure="false">'PRM NAVIRAÍ'!$F$21</definedName>
    <definedName function="false" hidden="false" localSheetId="7" name="EMPREG_POR_POSTO_44_1" vbProcedure="false">'PRM NAVIRAÍ'!$H$21</definedName>
    <definedName function="false" hidden="false" localSheetId="7" name="MOD_1_REMUNERACAO_12X36_NOT" vbProcedure="false">'PRM NAVIRAÍ'!$F$32</definedName>
    <definedName function="false" hidden="false" localSheetId="7" name="MOD_1_REMUNERAÇÃO_12X36_DIU_1" vbProcedure="false">'PRM NAVIRAÍ'!$G$32</definedName>
    <definedName function="false" hidden="false" localSheetId="7" name="MOD_2_ENCARGOS_BENEFICIOS_12X36_NOT" vbProcedure="false">'PRM NAVIRAÍ'!$F$39+'PRM NAVIRAÍ'!$F$51+'PRM NAVIRAÍ'!$F$60</definedName>
    <definedName function="false" hidden="false" localSheetId="7" name="MOD_3_PROVISAO_RESCISAO_12X36_NOT" vbProcedure="false">'PRM NAVIRAÍ'!$F$70</definedName>
    <definedName function="false" hidden="false" localSheetId="7" name="MOD_4_CUSTO_REPOSICAO_12X36_NOT" vbProcedure="false">'PRM NAVIRAÍ'!$F$82+'PRM NAVIRAÍ'!$F$87</definedName>
    <definedName function="false" hidden="false" localSheetId="7" name="MOD_5_INSUMOS_12X36_NOT" vbProcedure="false">'PRM NAVIRAÍ'!$F$96</definedName>
    <definedName function="false" hidden="false" localSheetId="7" name="MOD_6_CUSTOS_IND_LUCRO_TRIB_12X36_NOT" vbProcedure="false">'PRM NAVIRAÍ'!$F$107</definedName>
    <definedName function="false" hidden="false" localSheetId="7" name="PERC_MOD_3_PROVISAO_RESCISAO" vbProcedure="false">'PRM NAVIRAÍ'!$E$70</definedName>
    <definedName function="false" hidden="false" localSheetId="7" name="PERC_TRIBUTOS" vbProcedure="false">'PRM NAVIRAÍ'!$E$103</definedName>
    <definedName function="false" hidden="false" localSheetId="7" name="SUBMOD_2_1_DEC_TERC_ADIC_FERIAS_12X36_NOT" vbProcedure="false">'PRM NAVIRAÍ'!$F$39</definedName>
    <definedName function="false" hidden="false" localSheetId="7" name="SUBMOD_2_2_GPS_FGTS_12X36_NOT" vbProcedure="false">'PRM NAVIRAÍ'!$F$51</definedName>
    <definedName function="false" hidden="false" localSheetId="7" name="SUBMOD_2_3_BENEFICIOS_12X36_NOT" vbProcedure="false">'PRM NAVIRAÍ'!$F$60</definedName>
    <definedName function="false" hidden="false" localSheetId="7" name="SUBMOD_4_1_SUBSTITUTO_12X36_NOT" vbProcedure="false">'PRM NAVIRAÍ'!$F$82</definedName>
    <definedName function="false" hidden="false" localSheetId="7" name="SUBMOD_4_2_INTRAJORNADA_12X36_NOT" vbProcedure="false">'PRM NAVIRAÍ'!$F$87</definedName>
    <definedName function="false" hidden="false" localSheetId="7" name="VALOR_TOTAL_EMPREGADO_12x36_NOT" vbProcedure="false">'PRM NAVIRAÍ'!$F$117</definedName>
    <definedName function="false" hidden="false" localSheetId="7" name="VALOR_TOTAL_POSTO_12x36_NOT" vbProcedure="false">'PRM NAVIRAÍ'!$F$118</definedName>
    <definedName function="false" hidden="false" localSheetId="7" name="_xlnm.Print_Area" vbProcedure="false">'PRM NAVIRAÍ'!$A$1:$H$118</definedName>
    <definedName function="false" hidden="false" localSheetId="8" name="_xlnm.Print_Area" vbProcedure="false">UNIFORMES!$A$1:$G$16</definedName>
    <definedName function="false" hidden="false" localSheetId="9" name="_xlnm.Print_Area" vbProcedure="false">EQUIPAMENTOS!$A$1:$J$68</definedName>
    <definedName function="false" hidden="false" localSheetId="10" name="_xlnm.Print_Area" vbProcedure="false">'QUADRO-RESUMO'!$A$1:$H$85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<sst xmlns="http://schemas.openxmlformats.org/spreadsheetml/2006/main" count="1771" uniqueCount="395">
  <si>
    <t xml:space="preserve">RAMO: MINISTÉRIO PÚBLICO FEDERAL</t>
  </si>
  <si>
    <r>
      <rPr>
        <sz val="12"/>
        <rFont val="Segoe UI Light"/>
        <family val="2"/>
        <charset val="1"/>
      </rPr>
      <t xml:space="preserve">O LICITANTE DEVERÁ PREENCHER AS COLUNAS EM</t>
    </r>
    <r>
      <rPr>
        <b val="true"/>
        <sz val="12"/>
        <rFont val="Segoe UI Light"/>
        <family val="2"/>
        <charset val="1"/>
      </rPr>
      <t xml:space="preserve"> AMARELO</t>
    </r>
    <r>
      <rPr>
        <sz val="12"/>
        <rFont val="Segoe UI Light"/>
        <family val="2"/>
        <charset val="1"/>
      </rPr>
      <t xml:space="preserve"> NESTA PLANILHA, QUANDO FOR O CASO, E NAS PLANILHAS “UNIFORMES” E “EQUIPAMENTOS”. OS CÁLCULOS SERÃO FEITOS AUTOMATICAMENTE.</t>
    </r>
  </si>
  <si>
    <t xml:space="preserve">UNIDADE GESTORA (SIGLA): PRMS</t>
  </si>
  <si>
    <t xml:space="preserve">DATA:</t>
  </si>
  <si>
    <t xml:space="preserve">XX/XX/20XX</t>
  </si>
  <si>
    <t xml:space="preserve">CUSTOS REFERENTES AOS SERVIÇOS DE VIGILÂNCIA</t>
  </si>
  <si>
    <t xml:space="preserve">Dados referentes à licitação</t>
  </si>
  <si>
    <t xml:space="preserve">Nº do Processo (X.XX.XXX.XXXXXX/XXXX-XX)</t>
  </si>
  <si>
    <t xml:space="preserve">1.21.000.000635/2019-40</t>
  </si>
  <si>
    <t xml:space="preserve">Modalidade de Licitação nº (XX/AAAA)</t>
  </si>
  <si>
    <t xml:space="preserve">Pregão nº</t>
  </si>
  <si>
    <t xml:space="preserve">XX/20XX</t>
  </si>
  <si>
    <t xml:space="preserve">Data / Horário</t>
  </si>
  <si>
    <t xml:space="preserve">HH:MM</t>
  </si>
  <si>
    <t xml:space="preserve">Dados referentes à contratação</t>
  </si>
  <si>
    <t xml:space="preserve">A</t>
  </si>
  <si>
    <t xml:space="preserve">Data de Apresentação da Proposta (DD/MM/AAAA)</t>
  </si>
  <si>
    <t xml:space="preserve">B</t>
  </si>
  <si>
    <t xml:space="preserve">Local de Execução </t>
  </si>
  <si>
    <t xml:space="preserve">Procuradoria da República em Mato Grosso do Sul em Campo Grande e Procuradorias da República nos Municípios de Dourados, Três Lagoas, Corumbá e Naviraí</t>
  </si>
  <si>
    <t xml:space="preserve">C</t>
  </si>
  <si>
    <t xml:space="preserve">Unidade da Federação</t>
  </si>
  <si>
    <t xml:space="preserve">MS</t>
  </si>
  <si>
    <t xml:space="preserve">D</t>
  </si>
  <si>
    <t xml:space="preserve">Acordo, Conv. ou Sentença Normativa em Dissídio Coletivo (MM/AAAA)</t>
  </si>
  <si>
    <t xml:space="preserve">E</t>
  </si>
  <si>
    <t xml:space="preserve">Número de Meses de Execução Contratual</t>
  </si>
  <si>
    <t xml:space="preserve">Identificação do serviço</t>
  </si>
  <si>
    <t xml:space="preserve">Item</t>
  </si>
  <si>
    <t xml:space="preserve">Unidade (local) de prestação de serviços</t>
  </si>
  <si>
    <t xml:space="preserve">Tipo de Serviço</t>
  </si>
  <si>
    <t xml:space="preserve">Unidade de Medida</t>
  </si>
  <si>
    <t xml:space="preserve">Qtde Total a Contratar</t>
  </si>
  <si>
    <t xml:space="preserve">PRMS EM CAMPO GRANDE</t>
  </si>
  <si>
    <t xml:space="preserve">Vigilância 12x36 horas - noturno</t>
  </si>
  <si>
    <t xml:space="preserve">Posto</t>
  </si>
  <si>
    <t xml:space="preserve">Vigilância 12x36 horas - diurno</t>
  </si>
  <si>
    <t xml:space="preserve">Vigilância 44 horas semanais</t>
  </si>
  <si>
    <t xml:space="preserve">PRM EM DOURADOS</t>
  </si>
  <si>
    <t xml:space="preserve">PRM EM TRÊS LAGOAS</t>
  </si>
  <si>
    <t xml:space="preserve">PRM EM CORUMBÁ</t>
  </si>
  <si>
    <t xml:space="preserve">PRM EM NAVIRAÍ</t>
  </si>
  <si>
    <t xml:space="preserve">Especificação da mão de obra</t>
  </si>
  <si>
    <t xml:space="preserve">Tipo de Serviço (mesmo serviço com características distintas)</t>
  </si>
  <si>
    <t xml:space="preserve">Vigilância</t>
  </si>
  <si>
    <t xml:space="preserve">Classificação Brasileira de Ocupações (CBO)</t>
  </si>
  <si>
    <t xml:space="preserve">5173-30</t>
  </si>
  <si>
    <t xml:space="preserve">Categoria Profissional (vinculada à execução contratual)</t>
  </si>
  <si>
    <t xml:space="preserve">Vigilante</t>
  </si>
  <si>
    <t xml:space="preserve">Data-Base da Categoria (DD/MM/AAAA)</t>
  </si>
  <si>
    <t xml:space="preserve">Salário Mínimo vigente no país (em R$)</t>
  </si>
  <si>
    <t xml:space="preserve">CUSTOS POR EMPREGADO</t>
  </si>
  <si>
    <t xml:space="preserve">MÓDULO 1: COMPOSIÇÃO DA REMUNERAÇÃO</t>
  </si>
  <si>
    <t xml:space="preserve">Composição da Remuneração</t>
  </si>
  <si>
    <t xml:space="preserve">Valor / %</t>
  </si>
  <si>
    <t xml:space="preserve">Salário-Base (em R$)</t>
  </si>
  <si>
    <t xml:space="preserve">Adicional de Periculosidade (em %)</t>
  </si>
  <si>
    <t xml:space="preserve">Adicional Noturno (em % no campo de inserção)</t>
  </si>
  <si>
    <t xml:space="preserve">Adicional Remuneração em dobro (Natal, Ano Novo e Dia do Vigilante) – Cláusula 32ª da CCT MS000170/2018 (caso o licitante use uma CCT sem o benefício, exclua-se o item ) (em % no campo de inserção)</t>
  </si>
  <si>
    <t xml:space="preserve">Outras Remunerações 1 (Especificar)</t>
  </si>
  <si>
    <t xml:space="preserve">F</t>
  </si>
  <si>
    <t xml:space="preserve">Outras Remunerações 2 (Especificar)</t>
  </si>
  <si>
    <t xml:space="preserve">Submódulo 2.2 - Encargos Previdencários (GPS), Fundo de Garantia por Tempo de Serviço (FGTS) e Outras Contribuições</t>
  </si>
  <si>
    <t xml:space="preserve">2.2</t>
  </si>
  <si>
    <t xml:space="preserve">Encargos Previdenciários (GPS), Fundo de Garantia por Tempo de Serviço (FGTS) e outras contribuições</t>
  </si>
  <si>
    <t xml:space="preserve">%</t>
  </si>
  <si>
    <t xml:space="preserve">INSS</t>
  </si>
  <si>
    <t xml:space="preserve">Salário Educação</t>
  </si>
  <si>
    <t xml:space="preserve">Riscos Ambientais do Trabalho (RAT Ajustado, a ser comprovado com a proposta)</t>
  </si>
  <si>
    <t xml:space="preserve">SESC</t>
  </si>
  <si>
    <t xml:space="preserve">SENAC</t>
  </si>
  <si>
    <t xml:space="preserve">SEBRAE</t>
  </si>
  <si>
    <t xml:space="preserve">G</t>
  </si>
  <si>
    <t xml:space="preserve">INCRA</t>
  </si>
  <si>
    <t xml:space="preserve">H</t>
  </si>
  <si>
    <t xml:space="preserve">FGTS</t>
  </si>
  <si>
    <t xml:space="preserve">TOTAL</t>
  </si>
  <si>
    <t xml:space="preserve">Submódulo 2.3 - Benefícios Mensais e Diários</t>
  </si>
  <si>
    <t xml:space="preserve">2.3</t>
  </si>
  <si>
    <t xml:space="preserve">Benefícios Mensais e Diários</t>
  </si>
  <si>
    <t xml:space="preserve">Frequência</t>
  </si>
  <si>
    <t xml:space="preserve">Valor (em R$)</t>
  </si>
  <si>
    <t xml:space="preserve">Transporte</t>
  </si>
  <si>
    <t xml:space="preserve">Campo Grande</t>
  </si>
  <si>
    <t xml:space="preserve">Diária</t>
  </si>
  <si>
    <t xml:space="preserve">A.1</t>
  </si>
  <si>
    <t xml:space="preserve">Dourados</t>
  </si>
  <si>
    <t xml:space="preserve">A.2</t>
  </si>
  <si>
    <t xml:space="preserve">Três Lagoas</t>
  </si>
  <si>
    <t xml:space="preserve">A.3</t>
  </si>
  <si>
    <t xml:space="preserve">Corumbá</t>
  </si>
  <si>
    <t xml:space="preserve">A.4</t>
  </si>
  <si>
    <t xml:space="preserve">Naviraí</t>
  </si>
  <si>
    <t xml:space="preserve">Auxílio-Refeição/Alimentação</t>
  </si>
  <si>
    <t xml:space="preserve">Seguro de vida em grupo</t>
  </si>
  <si>
    <t xml:space="preserve">Mensal</t>
  </si>
  <si>
    <t xml:space="preserve">Programa Familiar Assistencial e de Saúde</t>
  </si>
  <si>
    <t xml:space="preserve">Outros Benefícios 1 (Especificar)</t>
  </si>
  <si>
    <t xml:space="preserve">MÓDULO 4: CUSTO DE REPOSIÇÃO DO PROFISSIONAL AUSENTE/INTRAJORNADA</t>
  </si>
  <si>
    <t xml:space="preserve">Submódulo 4.1 - Substituto nas Ausências Legais</t>
  </si>
  <si>
    <t xml:space="preserve">4.1</t>
  </si>
  <si>
    <t xml:space="preserve">Substituto nas Ausências Legais</t>
  </si>
  <si>
    <t xml:space="preserve">Outras Ausências (Especificar - em %)</t>
  </si>
  <si>
    <t xml:space="preserve">Submódulo 4.2 – Indenização devida ao empregado pelo trabalho no intervalo intrajornada</t>
  </si>
  <si>
    <t xml:space="preserve">4.2</t>
  </si>
  <si>
    <t xml:space="preserve">Intrajornada</t>
  </si>
  <si>
    <t xml:space="preserve">% / Minutos</t>
  </si>
  <si>
    <t xml:space="preserve">Hora Extra (em %)</t>
  </si>
  <si>
    <t xml:space="preserve">Tempo de Intervalo para Refeição (em minutos)</t>
  </si>
  <si>
    <t xml:space="preserve">MÓDULO 5: INSUMOS DIVERSOS</t>
  </si>
  <si>
    <t xml:space="preserve">Insumos Diversos</t>
  </si>
  <si>
    <t xml:space="preserve">Valor (R$)</t>
  </si>
  <si>
    <t xml:space="preserve">* Os dados dos insumos previstos no Módulo 5 devem ser preenchidos nas planilhas “Uniformes” e “Equipamentos”.</t>
  </si>
  <si>
    <t xml:space="preserve">MÓDULO 6: CUSTOS INDIRETOS, TRIBUTOS E LUCRO</t>
  </si>
  <si>
    <t xml:space="preserve">Custos Indiretos, Tributos e Lucro</t>
  </si>
  <si>
    <t xml:space="preserve">6.1</t>
  </si>
  <si>
    <t xml:space="preserve">Unidade do MPF/MS</t>
  </si>
  <si>
    <t xml:space="preserve">Custos Indiretos</t>
  </si>
  <si>
    <t xml:space="preserve">Lucro</t>
  </si>
  <si>
    <t xml:space="preserve">Tributos</t>
  </si>
  <si>
    <t xml:space="preserve">C.1</t>
  </si>
  <si>
    <t xml:space="preserve">PIS</t>
  </si>
  <si>
    <t xml:space="preserve">C.2</t>
  </si>
  <si>
    <t xml:space="preserve">Cofins</t>
  </si>
  <si>
    <t xml:space="preserve">C.3</t>
  </si>
  <si>
    <t xml:space="preserve">ISS</t>
  </si>
  <si>
    <t xml:space="preserve">OBSERVAÇÃO</t>
  </si>
  <si>
    <t xml:space="preserve">Para mais informações, consulte o Referencial Técnico de Custos, constante da aba PUBLICAÇÕES, na página da Auditoria Interna do MPU na internet (www.auditoria.mpu.mp.br).</t>
  </si>
  <si>
    <r>
      <rPr>
        <sz val="12"/>
        <rFont val="Segoe UI Light"/>
        <family val="2"/>
        <charset val="1"/>
      </rPr>
      <t xml:space="preserve">O LICITANTE DEVERÁ PREENCHER SOMENTE AS COLUNAS EM</t>
    </r>
    <r>
      <rPr>
        <b val="true"/>
        <sz val="12"/>
        <rFont val="Segoe UI Light"/>
        <family val="2"/>
        <charset val="1"/>
      </rPr>
      <t xml:space="preserve"> AMARELO</t>
    </r>
    <r>
      <rPr>
        <sz val="12"/>
        <rFont val="Segoe UI Light"/>
        <family val="2"/>
        <charset val="1"/>
      </rPr>
      <t xml:space="preserve"> NESTA PLANILHA, QUANDO FOR O CASO, E NAS PLANILHAS “UNIFORMES” E “EQUIPAMENTOS”. OS CÁLCULOS SERÃO FEITOS AUTOMATICAMENTE. QUALQUER ALTERAÇÃO NAS FÓRMULAS INSERIDAS NO DOCUMENTO DEVE SER INFORMADA E JUSTIFICADA POR MEIO DE NOTA EXPLICATIVA.</t>
    </r>
  </si>
  <si>
    <t xml:space="preserve">DADOS ESTATÍSTICOS</t>
  </si>
  <si>
    <t xml:space="preserve">Dias / Horas / Minutos / Perc.</t>
  </si>
  <si>
    <t xml:space="preserve">Divisor de Horas (em horas)</t>
  </si>
  <si>
    <t xml:space="preserve">Dias na Semana</t>
  </si>
  <si>
    <t xml:space="preserve">Dias no Ano</t>
  </si>
  <si>
    <t xml:space="preserve">Média Anual de Dias Trabalhados no Mês</t>
  </si>
  <si>
    <t xml:space="preserve">Meses no Ano </t>
  </si>
  <si>
    <t xml:space="preserve">Hora Normal (em minutos)</t>
  </si>
  <si>
    <t xml:space="preserve">Hora Noturna (em minutos)</t>
  </si>
  <si>
    <t xml:space="preserve">Horas pagas em dobro (Natal, Ano Novo e 15/09) por empregado 12x36 no ano </t>
  </si>
  <si>
    <t xml:space="preserve">I</t>
  </si>
  <si>
    <t xml:space="preserve">Proporção de hora noturna adicional (1 hora para cada escala de 12 horas) (em %)</t>
  </si>
  <si>
    <t xml:space="preserve">Dias / %</t>
  </si>
  <si>
    <t xml:space="preserve">Desconto Remuneração Transporte</t>
  </si>
  <si>
    <t xml:space="preserve">Desconto Remuneração Vale-alimentação</t>
  </si>
  <si>
    <t xml:space="preserve">Dias Trabalhados 12 x 36 horas</t>
  </si>
  <si>
    <t xml:space="preserve">Dias Trabalhados 44 horas</t>
  </si>
  <si>
    <t xml:space="preserve">MÓDULO 3: PROVISÃO PARA RESCISÃO</t>
  </si>
  <si>
    <t xml:space="preserve">Provisão para Rescisão</t>
  </si>
  <si>
    <t xml:space="preserve">Vigilantes demitidos sem justa causa / Total de desligamentos (em %)</t>
  </si>
  <si>
    <t xml:space="preserve">Empregados que recebem aviso prévio indenizado (em %)</t>
  </si>
  <si>
    <t xml:space="preserve">Multa do FGTS (em %)</t>
  </si>
  <si>
    <t xml:space="preserve">Contribuição Social (em %)</t>
  </si>
  <si>
    <t xml:space="preserve">Empregados que recebem aviso prévio trabalhado (em %)</t>
  </si>
  <si>
    <t xml:space="preserve">Dias no mês</t>
  </si>
  <si>
    <t xml:space="preserve">MÓDULO 4: CUSTO DE REPOSIÇÃO DO PROFISSIONAL AUSENTE</t>
  </si>
  <si>
    <t xml:space="preserve">Dias de Ausências Legais</t>
  </si>
  <si>
    <t xml:space="preserve">Dias de Licença-Paternidade</t>
  </si>
  <si>
    <t xml:space="preserve">Nascidos Vivos / População Feminina (em %)</t>
  </si>
  <si>
    <t xml:space="preserve">Participação Masculina nos Serviços de Vigilância (em %)</t>
  </si>
  <si>
    <t xml:space="preserve">Empregados afastados por acidente de trabalho (em %)</t>
  </si>
  <si>
    <t xml:space="preserve">Dias pagos pela empresa em acidentes de trabalho</t>
  </si>
  <si>
    <t xml:space="preserve">Dias de Licença-Maternidade</t>
  </si>
  <si>
    <t xml:space="preserve">Participação Feminina nos Serviços de Vigilância (em %)</t>
  </si>
  <si>
    <t xml:space="preserve">Submódulo 4.2 - Intrajornada</t>
  </si>
  <si>
    <t xml:space="preserve">Minutos / %</t>
  </si>
  <si>
    <t xml:space="preserve">ENCARGOS SOCIAIS E TRABALHISTAS</t>
  </si>
  <si>
    <t xml:space="preserve">MÓDULO 2: ENCARGOS E BENEFÍCIOS ANUAIS, MENSAIS E DIÁRIOS</t>
  </si>
  <si>
    <t xml:space="preserve">Submódulo 2.1 - 13º (décimo terceiro) Salário e Adicional de Férias</t>
  </si>
  <si>
    <t xml:space="preserve">2.1</t>
  </si>
  <si>
    <t xml:space="preserve">13º Salário e Adicional de Férias</t>
  </si>
  <si>
    <t xml:space="preserve">Memória de Cálculo</t>
  </si>
  <si>
    <t xml:space="preserve">13º Salário</t>
  </si>
  <si>
    <t xml:space="preserve">(1/12) x 100</t>
  </si>
  <si>
    <t xml:space="preserve">Adicional de Férias</t>
  </si>
  <si>
    <t xml:space="preserve">[(1/3)/12] x 100</t>
  </si>
  <si>
    <t xml:space="preserve">Riscos Ambientas do Trabalho</t>
  </si>
  <si>
    <t xml:space="preserve">Aviso Prévio Indenizado</t>
  </si>
  <si>
    <t xml:space="preserve">[(62,93%) x 5,55% x (1/12)] x 100</t>
  </si>
  <si>
    <t xml:space="preserve">Incidência do FGTS sobre o Aviso Prévio Indenizado</t>
  </si>
  <si>
    <t xml:space="preserve">(8,00% x 0,29%) x 100</t>
  </si>
  <si>
    <t xml:space="preserve">Multa do FGTS sobre o Aviso Prévio Indenizado</t>
  </si>
  <si>
    <t xml:space="preserve">[(0,29%) x (40%) x 8,00%] x 100</t>
  </si>
  <si>
    <t xml:space="preserve">Aviso Prévio Trabalhado</t>
  </si>
  <si>
    <t xml:space="preserve">[(62,93%) x 94,45% x (7/30)/12] x 100</t>
  </si>
  <si>
    <t xml:space="preserve">Incidência de GPS, FGTS e Outras Contribuições sobre Aviso Prévio Trabalhado</t>
  </si>
  <si>
    <t xml:space="preserve">(36,80% x 1,16%) x 100</t>
  </si>
  <si>
    <t xml:space="preserve">Multa do FGTS sobre o Aviso Prévio Trabalhado</t>
  </si>
  <si>
    <t xml:space="preserve">[(1,16%) x (40%) x 8,00%)] x 100</t>
  </si>
  <si>
    <t xml:space="preserve">Substituto na Cobertura de Férias </t>
  </si>
  <si>
    <t xml:space="preserve">(1/12) x 100 </t>
  </si>
  <si>
    <t xml:space="preserve">Substituto na Cobertura de Ausências Legais</t>
  </si>
  <si>
    <t xml:space="preserve">[(8/30)/12] x 100</t>
  </si>
  <si>
    <t xml:space="preserve">Substituto na Cobertura de Licença-Paternidade</t>
  </si>
  <si>
    <t xml:space="preserve">{[(20/30)/12] x 1,416% x 86,46%} x 100</t>
  </si>
  <si>
    <t xml:space="preserve">Substituto na Cobertura de Ausência por Acidente de Trabalho</t>
  </si>
  <si>
    <t xml:space="preserve">[(15/30)/12] x 0,44%} x 100</t>
  </si>
  <si>
    <t xml:space="preserve">Substituto na Cobertura de Afastamento Maternidade</t>
  </si>
  <si>
    <t xml:space="preserve">{[(180/30)/12] x 1,416% x 13,54% x 36,80%} x 100</t>
  </si>
  <si>
    <t xml:space="preserve">CUSTOS REFERENTES AOS POSTOS EM CAMPO GRANDE</t>
  </si>
  <si>
    <t xml:space="preserve">Nº do Processo</t>
  </si>
  <si>
    <t xml:space="preserve">Modalidade de Licitação</t>
  </si>
  <si>
    <t xml:space="preserve">DISCRIMINAÇÃO DOS SERVIÇOS (DADOS REFERENTES À CONTRATAÇÃO)</t>
  </si>
  <si>
    <t xml:space="preserve">Local de Execução (Sede, Anexo I ou II, PTM, PRM)</t>
  </si>
  <si>
    <t xml:space="preserve">Quantidade de Postos</t>
  </si>
  <si>
    <t xml:space="preserve">PLANILHA DE CUSTOS E FORMAÇÃO DE PREÇOS – CAMPO GRANDE</t>
  </si>
  <si>
    <t xml:space="preserve">NÚMERO DE EMPREGADOS POR POSTO</t>
  </si>
  <si>
    <t xml:space="preserve">TIPO DE POSTO</t>
  </si>
  <si>
    <t xml:space="preserve">Posto 12x36 Noturno</t>
  </si>
  <si>
    <t xml:space="preserve">Posto 12x36 Diurno</t>
  </si>
  <si>
    <t xml:space="preserve">Posto 44 horas semanais</t>
  </si>
  <si>
    <t xml:space="preserve">Nº de funcionários</t>
  </si>
  <si>
    <t xml:space="preserve">Salário-Base</t>
  </si>
  <si>
    <t xml:space="preserve">Adicional de Periculosidade</t>
  </si>
  <si>
    <t xml:space="preserve">Adicional Noturno</t>
  </si>
  <si>
    <t xml:space="preserve">Adicional de Hora Noturna Reduzida</t>
  </si>
  <si>
    <t xml:space="preserve">Multa do FGTS e Contribuição Social sobre o Aviso Prévio Indenizado</t>
  </si>
  <si>
    <t xml:space="preserve">Multa do FGTS e Contribuição Social sobre o Aviso Prévio Trabalhado</t>
  </si>
  <si>
    <t xml:space="preserve">Trabalho durante o intervalo intrajornada</t>
  </si>
  <si>
    <t xml:space="preserve">Uniformes</t>
  </si>
  <si>
    <t xml:space="preserve">Materiais</t>
  </si>
  <si>
    <t xml:space="preserve">Equipamentos</t>
  </si>
  <si>
    <t xml:space="preserve">Outros insumos</t>
  </si>
  <si>
    <t xml:space="preserve">  </t>
  </si>
  <si>
    <t xml:space="preserve">QUADRO RESUMO - CUSTO POR EMPREGADO</t>
  </si>
  <si>
    <t xml:space="preserve">MÓD.</t>
  </si>
  <si>
    <t xml:space="preserve">Mão-de-obra vinculada à execução contratual (valor por empregado)</t>
  </si>
  <si>
    <t xml:space="preserve">Valor    (R$)</t>
  </si>
  <si>
    <t xml:space="preserve">Encargos e Benefícios Anuais, Mensais e Diários</t>
  </si>
  <si>
    <t xml:space="preserve">Custo de Reposição do Profissional Ausente/Intrajornada</t>
  </si>
  <si>
    <t xml:space="preserve">VALOR TOTAL POR EMPREGADO</t>
  </si>
  <si>
    <t xml:space="preserve">VALOR TOTAL POR POSTO</t>
  </si>
  <si>
    <t xml:space="preserve">CUSTOS REFERENTES AOS POSTOS EM DOURADOS</t>
  </si>
  <si>
    <t xml:space="preserve">PLANILHA DE CUSTOS E FORMAÇÃO DE PREÇOS – DOURADOS</t>
  </si>
  <si>
    <t xml:space="preserve">Adicional de Hora Noturna Reduzida </t>
  </si>
  <si>
    <t xml:space="preserve">CUSTOS REFERENTES AOS POSTOS EM TRÊS LAGOAS</t>
  </si>
  <si>
    <t xml:space="preserve">PLANILHA DE CUSTOS E FORMAÇÃO DE PREÇOS – TRÊS LAGOAS</t>
  </si>
  <si>
    <t xml:space="preserve">Adicional de Hora Noturna Reduzida (em %)</t>
  </si>
  <si>
    <t xml:space="preserve">CUSTOS REFERENTES AOS POSTOS EM CORUMBÁ</t>
  </si>
  <si>
    <t xml:space="preserve">PLANILHA DE CUSTOS E FORMAÇÃO DE PREÇOS – CORUMBÁ</t>
  </si>
  <si>
    <t xml:space="preserve">CUSTOS REFERENTES AOS POSTOS EM NAVIRAÍ</t>
  </si>
  <si>
    <t xml:space="preserve">PLANILHA DE CUSTOS E FORMAÇÃO DE PREÇOS – NAVIRAÍ</t>
  </si>
  <si>
    <t xml:space="preserve">ANEXO </t>
  </si>
  <si>
    <t xml:space="preserve">QUADRO 1: UNIFORMES </t>
  </si>
  <si>
    <t xml:space="preserve">Nº ITEM</t>
  </si>
  <si>
    <t xml:space="preserve">PEÇA </t>
  </si>
  <si>
    <t xml:space="preserve">ESPECIFICAÇÕES</t>
  </si>
  <si>
    <t xml:space="preserve">QUANTIDADE ANUAL POR EMPREGADO</t>
  </si>
  <si>
    <t xml:space="preserve">VALOR UNITÁRIO</t>
  </si>
  <si>
    <t xml:space="preserve">VALOR TOTAL POR ITEM</t>
  </si>
  <si>
    <t xml:space="preserve">OBSERVAÇÃO: PREENCHER APENAS A COLUNA DE VALORES UNITÁRIOS EM AMARELO</t>
  </si>
  <si>
    <t xml:space="preserve">(A)</t>
  </si>
  <si>
    <t xml:space="preserve">(B)</t>
  </si>
  <si>
    <t xml:space="preserve">(C)</t>
  </si>
  <si>
    <t xml:space="preserve">Calça </t>
  </si>
  <si>
    <t xml:space="preserve">Tecido 100% algodão</t>
  </si>
  <si>
    <t xml:space="preserve">Camisa</t>
  </si>
  <si>
    <t xml:space="preserve">Cinto</t>
  </si>
  <si>
    <t xml:space="preserve">Couro natural ou sintético ou tecido</t>
  </si>
  <si>
    <t xml:space="preserve">Calçado</t>
  </si>
  <si>
    <t xml:space="preserve">Na cor preta com solado antiderrapante</t>
  </si>
  <si>
    <t xml:space="preserve">Meias</t>
  </si>
  <si>
    <t xml:space="preserve">Tipo social de cor preta</t>
  </si>
  <si>
    <t xml:space="preserve">Capa de colete balístico (fornecimento individual)</t>
  </si>
  <si>
    <t xml:space="preserve">Coldre auxiliar (fornecimento individual)</t>
  </si>
  <si>
    <t xml:space="preserve">Baleiro (fornecimento individual)</t>
  </si>
  <si>
    <t xml:space="preserve">Jaqueta de frio</t>
  </si>
  <si>
    <t xml:space="preserve">Capa de chuva</t>
  </si>
  <si>
    <t xml:space="preserve">Plástica de cor preta com faixas fluorescentes</t>
  </si>
  <si>
    <t xml:space="preserve">Valor Total (D)</t>
  </si>
  <si>
    <t xml:space="preserve">Valor Total Mensal (= D / 12)   (E)</t>
  </si>
  <si>
    <t xml:space="preserve">ANEXO</t>
  </si>
  <si>
    <t xml:space="preserve">Quadro 1: Posto 12 X 36 Noturno</t>
  </si>
  <si>
    <t xml:space="preserve">Nº Item</t>
  </si>
  <si>
    <t xml:space="preserve">Especificação</t>
  </si>
  <si>
    <t xml:space="preserve">Distribuição</t>
  </si>
  <si>
    <t xml:space="preserve">Quantidade Total para o Posto
</t>
  </si>
  <si>
    <t xml:space="preserve">Valor Unitário (R$)
</t>
  </si>
  <si>
    <t xml:space="preserve">Valor Total por Item (R$) 
(=A X B)</t>
  </si>
  <si>
    <t xml:space="preserve">Prazo Estimado de Vida Útil (Em Meses)
</t>
  </si>
  <si>
    <t xml:space="preserve">Taxa de Depreciação (%)
</t>
  </si>
  <si>
    <t xml:space="preserve">Valor Mensal por Item (R$)
=(C/D) X (1-E%)</t>
  </si>
  <si>
    <t xml:space="preserve">OBSERVAÇÃO AO LICITANTE: PREENCHER APENAS A COLUNA DE VALORES UNITÁRIOS</t>
  </si>
  <si>
    <t xml:space="preserve">(C )</t>
  </si>
  <si>
    <t xml:space="preserve">(D)</t>
  </si>
  <si>
    <t xml:space="preserve">(E)</t>
  </si>
  <si>
    <t xml:space="preserve">(F)</t>
  </si>
  <si>
    <t xml:space="preserve">Lanterna com bateria recarregável e carregador 110V, Tempo de iluminação interrupta de no mínimo 4 horas, resistente à água. (Ref.: Guepardo Ultra Light LA0400)</t>
  </si>
  <si>
    <t xml:space="preserve">Por posto</t>
  </si>
  <si>
    <t xml:space="preserve">Colete com Placa Balística Nível IIA (fornecimento individual – conforme tamanho e sexo do vigilante)</t>
  </si>
  <si>
    <t xml:space="preserve">Por vigilante (uso individual)</t>
  </si>
  <si>
    <t xml:space="preserve">Rádio portátil profissional com as seguintes características mínimas: 16 Canais, Botões Programáveis, Bloqueio de Canal Ocupado, Canal Exclusivo de Recepção, Transmissão Interna Ativada por Voz (VOX), Eliminação de Canal Ruidoso, Alerta de Chamada, Limitador de Tempo de Transmissão, Repetidor / Comunicação Direta, Varredura de Dupla Prioridade, Verificação do Rádio (recepção), Inibição Seletiva do Rádio (recepção), Alerta de Chamada (recepção), Chamada Seletiva (recepção), com 1 (um) Carregador e 1 (uma) Bateria reserva e 2 (dois) fones de ouvido. O fone de ouvido é de uso pessoal, vedado o revezamento entre os vigilantes. (ref.: MOTOROLA EP 450)</t>
  </si>
  <si>
    <t xml:space="preserve">Leitor (bastão) de ronda eletrônica com no mínimo 7  (sete) pontos (botons) de leitura e software gerenciador dos dados, capaz de gerar relatórios especificando todos os pontos de ronda, horário e nome do vigilante rondante. (Ref.: LEITOR CONTRONICS LINHA GUARDUS COM SOFTWARE PROGUARD)</t>
  </si>
  <si>
    <t xml:space="preserve">Valor total mensal dos equipamentos por posto (G)</t>
  </si>
  <si>
    <t xml:space="preserve">Número de empregados por posto (H)</t>
  </si>
  <si>
    <t xml:space="preserve">Valor mensal por empregado  ( = G / H )   (I)</t>
  </si>
  <si>
    <t xml:space="preserve">Quadro 2: Posto 12 X 36 Diurno</t>
  </si>
  <si>
    <t xml:space="preserve">Quadro 3: Posto 44 Horas Semanais</t>
  </si>
  <si>
    <t xml:space="preserve">Arma de choque lançador de dardos energizados (kit completo contendo maleta com um carregador, com 08 baterias e 02 cartuchos) </t>
  </si>
  <si>
    <t xml:space="preserve">Revólver calibre 38 – cano 4”</t>
  </si>
  <si>
    <t xml:space="preserve">Munição calibre 38 novas, vedadas as recarregadas (unidades)</t>
  </si>
  <si>
    <t xml:space="preserve">Rádio portátil profissional com as seguintes características mínimas: 16 Canais, Botões Programáveis, Bloqueio de Canal Ocupado, Canal Exclusivo de Recepção, Transmissão Interna Ativada por Voz (VOX), Eliminação de Canal Ruidoso, Alerta de Chamada, Limitador de Tempo de Transmissão, Repetidor / Comunicação Direta, Varredura de Dupla Prioridade, Verificação do Rádio (recepção), Inibição Seletiva do Rádio (recepção), Alerta de Chamada (recepção), Chamada Seletiva (recepção), com 1 (um) Carregador e 1 (uma) Bateria reserva e 1 (um) fone de ouvido. O fone de ouvido é de uso pessoal, vedado o revezamento entre os vigilantes. (Ref.: MOTOROLA EP 450)</t>
  </si>
  <si>
    <t xml:space="preserve">Quadro 4: Equipamentos de Uso Compartilhado dos Postos 12x36 Diurno e 12x36 Noturno </t>
  </si>
  <si>
    <t xml:space="preserve">Por posto 12x36 Diurno e 12x36 Noturno em Serviço</t>
  </si>
  <si>
    <t xml:space="preserve">Número de postos que revezarão o mesmo equipamento (cada posto 12x36 diurno com um posto 12x36 noturno) (H)</t>
  </si>
  <si>
    <t xml:space="preserve">Número de empregados por posto (I)</t>
  </si>
  <si>
    <t xml:space="preserve">Valor mensal por empregado [ = (G / H) / I ]   (J)</t>
  </si>
  <si>
    <t xml:space="preserve">Quadro 5: Leitor de Ronda Eletrônica para os postos 44 horas na Sede da PRMS em Campo Grande</t>
  </si>
  <si>
    <t xml:space="preserve">Quantidade Total para os Postos
</t>
  </si>
  <si>
    <t xml:space="preserve">Leitor (bastão) de ronda eletrônica com no mínimo 7 (sete) pontos (botons) de leitura e software gerenciador dos dados, capaz de gerar relatórios especificando todos os pontos de ronda, horário e nome do vigilante rondante. Referência LEITOR CONTRONICS LINHA GUARDUS COM SOFTWARE PROGUARD </t>
  </si>
  <si>
    <t xml:space="preserve">Para os Postos 44 horas em Campo Grande</t>
  </si>
  <si>
    <t xml:space="preserve">Valor total mensal do equipamento (G)</t>
  </si>
  <si>
    <t xml:space="preserve">Número de postos que revezarão o mesmo equipamento (posto 44 horas em Campo Grande) (H)</t>
  </si>
  <si>
    <t xml:space="preserve">Valor mensal por empregado  [ = (G / H) / I] (J) </t>
  </si>
  <si>
    <t xml:space="preserve">Quadro 6: leitor de ronda eletrônica para os postos localizados nas PRMs no interior</t>
  </si>
  <si>
    <t xml:space="preserve">Quantidade Total para cada Posto
</t>
  </si>
  <si>
    <t xml:space="preserve">Leitor (bastão) de ronda eletrônica com no mínimo 7 (sete) pontos (botons) de leitura e software gerenciador dos dados, capaz de gerar relatórios especificando todos os pontos de ronda, horário e nome do vigilante rondante. (Ref.: LEITOR CONTRONICS LINHA GUARDUS COM SOFTWARE PROGUARD)</t>
  </si>
  <si>
    <t xml:space="preserve">Por cada posto 44 horas em  Dourados, Corumbá e Naviraí</t>
  </si>
  <si>
    <t xml:space="preserve">Quadro 7: leitor de ronda eletrônica para o posto diurno em Três Lagoas</t>
  </si>
  <si>
    <t xml:space="preserve">Leitor (bastão) de ronda eletrônica com no mínimo 7 (sete) pontos (botons) de leitura e software gerenciador dos dados, capaz de gerar relatórios especificando todos os pontos de ronda, horário e nome do vigilante rondante. (Ref.: LEITOR CONTRONICS LINHA GUARDUS COM SOFTWARE PROGUARD</t>
  </si>
  <si>
    <t xml:space="preserve">Para 1 (um) posto 12x36 diurno em Três Lagoas</t>
  </si>
  <si>
    <t xml:space="preserve">QUADRO RESUMO - VALOR MENSAL DOS SERVIÇOS</t>
  </si>
  <si>
    <t xml:space="preserve">Qtde de postos
(A)</t>
  </si>
  <si>
    <t xml:space="preserve">Valor do posto   
(B)</t>
  </si>
  <si>
    <t xml:space="preserve">Valores totais dos postos = (AxB)
(C )</t>
  </si>
  <si>
    <t xml:space="preserve">1.1</t>
  </si>
  <si>
    <t xml:space="preserve">1.2</t>
  </si>
  <si>
    <t xml:space="preserve">1.3</t>
  </si>
  <si>
    <t xml:space="preserve">1.4</t>
  </si>
  <si>
    <t xml:space="preserve">Valor mensal dos serviços para PRMS em Campo Grande (1.1+1.2+1.3)</t>
  </si>
  <si>
    <t xml:space="preserve">2.4</t>
  </si>
  <si>
    <t xml:space="preserve">Valor mensal dos serviços para PRM em Dourados (2.1+2.2+2.3)</t>
  </si>
  <si>
    <t xml:space="preserve">3.1</t>
  </si>
  <si>
    <t xml:space="preserve">3.2</t>
  </si>
  <si>
    <t xml:space="preserve">3.3</t>
  </si>
  <si>
    <t xml:space="preserve">Valor mensal dos serviços para PRM em Três Lagoas (3.1+3.2)</t>
  </si>
  <si>
    <t xml:space="preserve">4.3</t>
  </si>
  <si>
    <t xml:space="preserve">4.4</t>
  </si>
  <si>
    <t xml:space="preserve">Valor mensal dos serviços para PRM em Corumbá (4.1+4.2+4.3)</t>
  </si>
  <si>
    <t xml:space="preserve">5.1</t>
  </si>
  <si>
    <t xml:space="preserve">5.2</t>
  </si>
  <si>
    <t xml:space="preserve">5.3</t>
  </si>
  <si>
    <t xml:space="preserve">5.4</t>
  </si>
  <si>
    <t xml:space="preserve">Valor mensal dos serviços para PRM em Naviraí (5.1+5.2+5.3)</t>
  </si>
  <si>
    <t xml:space="preserve">VALOR TOTAL MENSAL DOS SERVIÇOS ( 1.4 + 2.4 + 3.3 + 4.4 + 5.4)</t>
  </si>
  <si>
    <t xml:space="preserve">QUADRO RESUMO - ENCARGOS SOCIAIS E TRABALHISTAS EFETIVOS</t>
  </si>
  <si>
    <t xml:space="preserve">Conta</t>
  </si>
  <si>
    <t xml:space="preserve">Total de Encargos Sociais e Trabalhistas (A)*</t>
  </si>
  <si>
    <t xml:space="preserve">Remuneração (B)</t>
  </si>
  <si>
    <t xml:space="preserve">Encargos Sociais e Trabalhistas Efetivos (C = A / B)</t>
  </si>
  <si>
    <t xml:space="preserve">* Submódulo 2.1 + Submódulo 2.2 + Módulo 3 + Submódulo 4.1</t>
  </si>
  <si>
    <t xml:space="preserve">LIMITES PARA CONTRATAÇÃO, CONFORME PORTARIAS SEGES/ME</t>
  </si>
  <si>
    <t xml:space="preserve">Valor do posto (em R$)</t>
  </si>
  <si>
    <t xml:space="preserve">Limite mínimo estabelecido por portaria da Seges (em R$)</t>
  </si>
  <si>
    <t xml:space="preserve">O valor estimado está ACIMA DO VALOR MÍNIMO estabelecido em portaria da Seges para a respectiva unidade da federação?</t>
  </si>
  <si>
    <t xml:space="preserve">Limite máximo estabelecido por portaria da Seges (em R$)</t>
  </si>
  <si>
    <t xml:space="preserve">O valor estimado está ABAIXO DO VALOR MÁXIMO estabelecido em portaria da Seges para a respectiva unidade da federação?</t>
  </si>
  <si>
    <t xml:space="preserve">-</t>
  </si>
  <si>
    <t xml:space="preserve">em R$</t>
  </si>
  <si>
    <t xml:space="preserve">UF</t>
  </si>
  <si>
    <t xml:space="preserve">A PARTIR DE</t>
  </si>
  <si>
    <t xml:space="preserve">POSTO 12 X 36 DIURNO</t>
  </si>
  <si>
    <t xml:space="preserve">POSTO 12X36 NOTURNO</t>
  </si>
  <si>
    <t xml:space="preserve">POSTO 44 HORAS SEMANAIS</t>
  </si>
  <si>
    <t xml:space="preserve">LIMITE MÍNIMO</t>
  </si>
  <si>
    <t xml:space="preserve">LIMITE MÁXIMO</t>
  </si>
  <si>
    <t xml:space="preserve">AC</t>
  </si>
  <si>
    <t xml:space="preserve">AL</t>
  </si>
  <si>
    <t xml:space="preserve">AM</t>
  </si>
  <si>
    <t xml:space="preserve">AP</t>
  </si>
  <si>
    <t xml:space="preserve">BA</t>
  </si>
  <si>
    <t xml:space="preserve">CE</t>
  </si>
  <si>
    <t xml:space="preserve">DF</t>
  </si>
  <si>
    <t xml:space="preserve">ES</t>
  </si>
  <si>
    <t xml:space="preserve">GO</t>
  </si>
  <si>
    <t xml:space="preserve">MA</t>
  </si>
  <si>
    <t xml:space="preserve">MG</t>
  </si>
  <si>
    <t xml:space="preserve">MT</t>
  </si>
  <si>
    <t xml:space="preserve">PA</t>
  </si>
  <si>
    <t xml:space="preserve">PB</t>
  </si>
  <si>
    <t xml:space="preserve">PE</t>
  </si>
  <si>
    <t xml:space="preserve">PI</t>
  </si>
  <si>
    <t xml:space="preserve">PR</t>
  </si>
  <si>
    <t xml:space="preserve">RJ</t>
  </si>
  <si>
    <t xml:space="preserve">RN</t>
  </si>
  <si>
    <t xml:space="preserve">RO</t>
  </si>
  <si>
    <t xml:space="preserve">RR</t>
  </si>
  <si>
    <t xml:space="preserve">RS</t>
  </si>
  <si>
    <t xml:space="preserve">SC</t>
  </si>
  <si>
    <t xml:space="preserve">SE</t>
  </si>
  <si>
    <t xml:space="preserve">SP</t>
  </si>
  <si>
    <t xml:space="preserve">TO</t>
  </si>
  <si>
    <t xml:space="preserve">MÉDIA</t>
  </si>
  <si>
    <t xml:space="preserve">MENOR VALOR</t>
  </si>
  <si>
    <t xml:space="preserve">MAIOR VALOR</t>
  </si>
  <si>
    <t xml:space="preserve">Atualizado em 20/08/2019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</si>
</sst>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@"/>
    <numFmt numFmtId="166" formatCode="D/M/YYYY"/>
    <numFmt numFmtId="167" formatCode="#,##0.00"/>
    <numFmt numFmtId="168" formatCode="#,##0.00_);\(#,##0.00\)"/>
    <numFmt numFmtId="169" formatCode="#,##0"/>
    <numFmt numFmtId="170" formatCode="0.00"/>
    <numFmt numFmtId="171" formatCode="[$R$-416]\ #,##0.00;[RED]\-[$R$-416]\ #,##0.00"/>
    <numFmt numFmtId="172" formatCode="#,##0.0"/>
    <numFmt numFmtId="173" formatCode="#,##0_);\(#,##0\)"/>
    <numFmt numFmtId="174" formatCode="0.00000000"/>
    <numFmt numFmtId="175" formatCode="0.00%"/>
    <numFmt numFmtId="176" formatCode="#,##0.00_ ;\-#,##0.00\ "/>
    <numFmt numFmtId="177" formatCode="&quot;R$ &quot;#,##0.00"/>
    <numFmt numFmtId="178" formatCode="&quot;R$ &quot;#,##0.00;[RED]&quot;-R$ &quot;#,##0.00"/>
  </numFmts>
  <fonts count="3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3366"/>
      <name val="Cambria"/>
      <family val="2"/>
      <charset val="1"/>
    </font>
    <font>
      <b val="true"/>
      <sz val="15"/>
      <color rgb="FF003366"/>
      <name val="Calibri"/>
      <family val="2"/>
      <charset val="1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sz val="12"/>
      <name val="Segoe UI Light"/>
      <family val="2"/>
      <charset val="1"/>
    </font>
    <font>
      <b val="true"/>
      <sz val="12"/>
      <name val="Segoe UI Light"/>
      <family val="2"/>
      <charset val="1"/>
    </font>
    <font>
      <sz val="8"/>
      <name val="Segoe UI Light"/>
      <family val="2"/>
      <charset val="1"/>
    </font>
    <font>
      <b val="true"/>
      <sz val="16"/>
      <color rgb="FF632523"/>
      <name val="Segoe UI Light"/>
      <family val="2"/>
      <charset val="1"/>
    </font>
    <font>
      <b val="true"/>
      <sz val="11"/>
      <color rgb="FFFFFFFF"/>
      <name val="Segoe UI Light"/>
      <family val="2"/>
      <charset val="1"/>
    </font>
    <font>
      <b val="true"/>
      <sz val="11"/>
      <name val="Segoe UI Light"/>
      <family val="2"/>
      <charset val="1"/>
    </font>
    <font>
      <b val="true"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i val="true"/>
      <sz val="10"/>
      <color rgb="FFFFFFFF"/>
      <name val="Segoe UI Light"/>
      <family val="2"/>
      <charset val="1"/>
    </font>
    <font>
      <b val="true"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 val="true"/>
      <sz val="12"/>
      <color rgb="FF632523"/>
      <name val="Segoe UI Light"/>
      <family val="2"/>
      <charset val="1"/>
    </font>
    <font>
      <b val="true"/>
      <sz val="20"/>
      <color rgb="FF953735"/>
      <name val="Segoe UI Light"/>
      <family val="2"/>
      <charset val="1"/>
    </font>
    <font>
      <sz val="11"/>
      <color rgb="FF000000"/>
      <name val="Segoe UI Light"/>
      <family val="2"/>
      <charset val="1"/>
    </font>
    <font>
      <b val="true"/>
      <sz val="16"/>
      <name val="Segoe UI Light"/>
      <family val="2"/>
      <charset val="1"/>
    </font>
    <font>
      <i val="true"/>
      <sz val="10"/>
      <name val="Segoe UI Light"/>
      <family val="2"/>
      <charset val="1"/>
    </font>
    <font>
      <b val="true"/>
      <sz val="14"/>
      <color rgb="FF632523"/>
      <name val="Segoe UI Light"/>
      <family val="2"/>
      <charset val="1"/>
    </font>
    <font>
      <b val="true"/>
      <sz val="10"/>
      <color rgb="FFFFFFFF"/>
      <name val="Segoe UI Light"/>
      <family val="2"/>
      <charset val="1"/>
    </font>
    <font>
      <sz val="10"/>
      <name val="Segoe UI Light"/>
      <family val="2"/>
      <charset val="1"/>
    </font>
    <font>
      <sz val="10"/>
      <color rgb="FFFFFFFF"/>
      <name val="Segoe UI Light"/>
      <family val="2"/>
      <charset val="1"/>
    </font>
    <font>
      <i val="true"/>
      <sz val="11"/>
      <name val="Segoe UI Light"/>
      <family val="2"/>
      <charset val="1"/>
    </font>
    <font>
      <b val="true"/>
      <i val="true"/>
      <sz val="10"/>
      <name val="Segoe UI Light"/>
      <family val="2"/>
      <charset val="1"/>
    </font>
    <font>
      <b val="true"/>
      <sz val="10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FFF38"/>
        <bgColor rgb="FFFFFF6D"/>
      </patternFill>
    </fill>
    <fill>
      <patternFill patternType="solid">
        <fgColor rgb="FFD55816"/>
        <bgColor rgb="FFEA7500"/>
      </patternFill>
    </fill>
    <fill>
      <patternFill patternType="solid">
        <fgColor rgb="FFFCD5B5"/>
        <bgColor rgb="FFFFE994"/>
      </patternFill>
    </fill>
    <fill>
      <patternFill patternType="solid">
        <fgColor rgb="FFFDEADA"/>
        <bgColor rgb="FFF2F2F2"/>
      </patternFill>
    </fill>
    <fill>
      <patternFill patternType="solid">
        <fgColor rgb="FFFFE994"/>
        <bgColor rgb="FFFCD5B5"/>
      </patternFill>
    </fill>
    <fill>
      <patternFill patternType="solid">
        <fgColor rgb="FFEA7500"/>
        <bgColor rgb="FFD55816"/>
      </patternFill>
    </fill>
    <fill>
      <patternFill patternType="solid">
        <fgColor rgb="FFFFFF6D"/>
        <bgColor rgb="FFFFFF38"/>
      </patternFill>
    </fill>
    <fill>
      <patternFill patternType="solid">
        <fgColor rgb="FFFAC090"/>
        <bgColor rgb="FFFCD5B5"/>
      </patternFill>
    </fill>
    <fill>
      <patternFill patternType="solid">
        <fgColor rgb="FFCC3400"/>
        <bgColor rgb="FFD55816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/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>
        <color rgb="FFF2F2F2"/>
      </right>
      <top style="thin">
        <color rgb="FFF2F2F2"/>
      </top>
      <bottom style="thick">
        <color rgb="FFF2F2F2"/>
      </bottom>
      <diagonal/>
    </border>
    <border diagonalUp="false" diagonalDown="false">
      <left style="thin">
        <color rgb="FFF2F2F2"/>
      </left>
      <right/>
      <top style="thin">
        <color rgb="FFF2F2F2"/>
      </top>
      <bottom style="thick">
        <color rgb="FFF2F2F2"/>
      </bottom>
      <diagonal/>
    </border>
    <border diagonalUp="false" diagonalDown="false">
      <left/>
      <right/>
      <top style="thin">
        <color rgb="FFF2F2F2"/>
      </top>
      <bottom/>
      <diagonal/>
    </border>
    <border diagonalUp="false" diagonalDown="false">
      <left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/>
      <right/>
      <top/>
      <bottom style="thin">
        <color rgb="FFF2F2F2"/>
      </bottom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 diagonalUp="false" diagonalDown="false">
      <left style="thin">
        <color rgb="FFF2F2F2"/>
      </left>
      <right style="thin">
        <color rgb="FFD3D3D3"/>
      </right>
      <top style="thin">
        <color rgb="FFF2F2F2"/>
      </top>
      <bottom style="thin">
        <color rgb="FFD3D3D3"/>
      </bottom>
      <diagonal/>
    </border>
    <border diagonalUp="false" diagonalDown="false">
      <left style="thin">
        <color rgb="FFD3D3D3"/>
      </left>
      <right style="thin">
        <color rgb="FFD3D3D3"/>
      </right>
      <top style="thin">
        <color rgb="FFF2F2F2"/>
      </top>
      <bottom style="thin">
        <color rgb="FFD3D3D3"/>
      </bottom>
      <diagonal/>
    </border>
    <border diagonalUp="false" diagonalDown="false">
      <left style="thin">
        <color rgb="FFF2F2F2"/>
      </left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1" applyFont="true" applyBorder="true" applyAlignment="true" applyProtection="false">
      <alignment horizontal="general" vertical="bottom" textRotation="0" wrapText="false" indent="0" shrinkToFit="false"/>
    </xf>
  </cellStyleXfs>
  <cellXfs count="2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5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7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6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5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2" fillId="5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8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2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7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6" fillId="7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6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7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8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6" fillId="6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6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6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6" fillId="6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2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5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6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6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7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6" fillId="8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8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6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6" fillId="8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6" fillId="8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2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2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8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15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3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6" fillId="8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9" fontId="6" fillId="8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2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5" fillId="2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2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9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6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8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8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7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2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2" fontId="6" fillId="7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3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3" fontId="6" fillId="7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7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6" fillId="7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6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6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6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6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2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6" fillId="7" borderId="2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7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7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7" fillId="7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7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5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6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3" fontId="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7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1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6" fillId="7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2" fillId="5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2" fillId="5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7" fontId="12" fillId="5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6" fillId="7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6" fontId="6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5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6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7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7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6" fillId="7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2" fillId="5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6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7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8" fontId="23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7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3" fillId="6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8" fontId="23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12" fillId="5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4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1" fontId="10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3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5" fillId="5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26" fillId="10" borderId="1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26" fillId="6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6" fillId="6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26" fillId="8" borderId="1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26" fillId="6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6" fillId="7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6" fillId="7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26" fillId="7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6" fillId="6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6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7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6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11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26" fillId="11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6" fillId="3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1" fontId="26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5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7" fillId="5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26" fillId="4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5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26" fillId="8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26" fillId="6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6" fillId="6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26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26" fillId="7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6" fillId="7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26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11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26" fillId="11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11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12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1" fontId="25" fillId="1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5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4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2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6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6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7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6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6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2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1" fontId="12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11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7" fontId="6" fillId="11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7" fontId="6" fillId="7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5" fontId="12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11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28" fillId="11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2" fillId="3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75" fontId="12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7" fontId="28" fillId="11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5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5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11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8" fontId="3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8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2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Título 1 1" xfId="20" builtinId="53" customBuiltin="true"/>
    <cellStyle name="Título 1 1 1" xfId="21" builtinId="53" customBuiltin="true"/>
  </cellStyles>
  <colors>
    <indexedColors>
      <rgbColor rgb="FF000000"/>
      <rgbColor rgb="FFFFFFFF"/>
      <rgbColor rgb="FFFF0000"/>
      <rgbColor rgb="FF00FF00"/>
      <rgbColor rgb="FF0000FF"/>
      <rgbColor rgb="FFFFFF38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FE994"/>
      <rgbColor rgb="FFFFFF6D"/>
      <rgbColor rgb="FF99CCFF"/>
      <rgbColor rgb="FFFCD5B5"/>
      <rgbColor rgb="FFCC99FF"/>
      <rgbColor rgb="FFFAC090"/>
      <rgbColor rgb="FF3366FF"/>
      <rgbColor rgb="FF33CCCC"/>
      <rgbColor rgb="FF99CC00"/>
      <rgbColor rgb="FFFFCC00"/>
      <rgbColor rgb="FFF79646"/>
      <rgbColor rgb="FFEA7500"/>
      <rgbColor rgb="FF666699"/>
      <rgbColor rgb="FF969696"/>
      <rgbColor rgb="FF003366"/>
      <rgbColor rgb="FF339966"/>
      <rgbColor rgb="FF003300"/>
      <rgbColor rgb="FF333300"/>
      <rgbColor rgb="FFCC3400"/>
      <rgbColor rgb="FFD55816"/>
      <rgbColor rgb="FF333399"/>
      <rgbColor rgb="FF6325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I65536"/>
  <sheetViews>
    <sheetView showFormulas="false" showGridLines="true" showRowColHeaders="true" showZeros="true" rightToLeft="false" tabSelected="true" showOutlineSymbols="true" defaultGridColor="true" view="normal" topLeftCell="A19" colorId="64" zoomScale="90" zoomScaleNormal="90" zoomScalePageLayoutView="100" workbookViewId="0">
      <selection pane="topLeft" activeCell="C56" activeCellId="0" sqref="C56"/>
    </sheetView>
  </sheetViews>
  <sheetFormatPr defaultRowHeight="16.5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8.86"/>
    <col collapsed="false" customWidth="true" hidden="false" outlineLevel="0" max="3" min="3" style="1" width="30.56"/>
    <col collapsed="false" customWidth="true" hidden="false" outlineLevel="0" max="4" min="4" style="1" width="28.62"/>
    <col collapsed="false" customWidth="true" hidden="false" outlineLevel="0" max="5" min="5" style="1" width="14.81"/>
    <col collapsed="false" customWidth="true" hidden="false" outlineLevel="0" max="6" min="6" style="1" width="14.31"/>
    <col collapsed="false" customWidth="true" hidden="false" outlineLevel="0" max="7" min="7" style="1" width="10.58"/>
    <col collapsed="false" customWidth="true" hidden="false" outlineLevel="0" max="8" min="8" style="1" width="11.81"/>
    <col collapsed="false" customWidth="true" hidden="false" outlineLevel="0" max="9" min="9" style="1" width="10.28"/>
    <col collapsed="false" customWidth="true" hidden="false" outlineLevel="0" max="10" min="10" style="1" width="10.69"/>
    <col collapsed="false" customWidth="true" hidden="false" outlineLevel="0" max="1025" min="11" style="1" width="9.13"/>
  </cols>
  <sheetData>
    <row r="1" customFormat="false" ht="20.2" hidden="false" customHeight="true" outlineLevel="0" collapsed="false">
      <c r="B1" s="2" t="s">
        <v>0</v>
      </c>
      <c r="C1" s="2"/>
      <c r="D1" s="2"/>
      <c r="E1" s="2"/>
      <c r="F1" s="2"/>
      <c r="K1" s="3" t="s">
        <v>1</v>
      </c>
      <c r="L1" s="3"/>
      <c r="M1" s="3"/>
    </row>
    <row r="2" customFormat="false" ht="20.2" hidden="false" customHeight="true" outlineLevel="0" collapsed="false">
      <c r="B2" s="2" t="s">
        <v>2</v>
      </c>
      <c r="C2" s="2"/>
      <c r="D2" s="2"/>
      <c r="E2" s="4" t="s">
        <v>3</v>
      </c>
      <c r="F2" s="5" t="s">
        <v>4</v>
      </c>
      <c r="H2" s="6"/>
      <c r="I2" s="6"/>
      <c r="J2" s="6"/>
      <c r="K2" s="3"/>
      <c r="L2" s="3"/>
      <c r="M2" s="3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customFormat="false" ht="16.65" hidden="false" customHeight="true" outlineLevel="0" collapsed="false">
      <c r="B3" s="7"/>
      <c r="C3" s="7"/>
      <c r="D3" s="7"/>
      <c r="E3" s="7"/>
      <c r="F3" s="7"/>
      <c r="H3" s="6"/>
      <c r="I3" s="6"/>
      <c r="J3" s="6"/>
      <c r="K3" s="3"/>
      <c r="L3" s="3"/>
      <c r="M3" s="3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="7" customFormat="true" ht="22.55" hidden="false" customHeight="true" outlineLevel="0" collapsed="false">
      <c r="B4" s="8" t="s">
        <v>5</v>
      </c>
      <c r="C4" s="8"/>
      <c r="D4" s="8"/>
      <c r="E4" s="8"/>
      <c r="F4" s="8"/>
      <c r="G4" s="0"/>
      <c r="H4" s="6"/>
      <c r="I4" s="6"/>
      <c r="J4" s="6"/>
      <c r="K4" s="3"/>
      <c r="L4" s="3"/>
      <c r="M4" s="3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customFormat="false" ht="16.65" hidden="false" customHeight="true" outlineLevel="0" collapsed="false">
      <c r="A5" s="7"/>
      <c r="B5" s="9" t="s">
        <v>6</v>
      </c>
      <c r="C5" s="9"/>
      <c r="D5" s="9"/>
      <c r="E5" s="9"/>
      <c r="F5" s="9"/>
      <c r="K5" s="3"/>
      <c r="L5" s="3"/>
      <c r="M5" s="3"/>
    </row>
    <row r="6" customFormat="false" ht="33.2" hidden="false" customHeight="true" outlineLevel="0" collapsed="false">
      <c r="A6" s="7"/>
      <c r="B6" s="10" t="s">
        <v>7</v>
      </c>
      <c r="C6" s="10"/>
      <c r="D6" s="11" t="s">
        <v>8</v>
      </c>
      <c r="E6" s="11"/>
      <c r="F6" s="11"/>
      <c r="K6" s="3"/>
      <c r="L6" s="3"/>
      <c r="M6" s="3"/>
    </row>
    <row r="7" customFormat="false" ht="16.65" hidden="false" customHeight="true" outlineLevel="0" collapsed="false">
      <c r="A7" s="7"/>
      <c r="B7" s="12" t="s">
        <v>9</v>
      </c>
      <c r="C7" s="12"/>
      <c r="D7" s="13" t="s">
        <v>10</v>
      </c>
      <c r="E7" s="13"/>
      <c r="F7" s="14" t="s">
        <v>11</v>
      </c>
      <c r="K7" s="3"/>
      <c r="L7" s="3"/>
      <c r="M7" s="3"/>
    </row>
    <row r="8" customFormat="false" ht="16.65" hidden="false" customHeight="true" outlineLevel="0" collapsed="false">
      <c r="A8" s="7"/>
      <c r="B8" s="15" t="s">
        <v>12</v>
      </c>
      <c r="C8" s="15"/>
      <c r="D8" s="14" t="s">
        <v>4</v>
      </c>
      <c r="E8" s="14"/>
      <c r="F8" s="14" t="s">
        <v>13</v>
      </c>
      <c r="K8" s="3"/>
      <c r="L8" s="3"/>
      <c r="M8" s="3"/>
    </row>
    <row r="9" s="6" customFormat="true" ht="16.65" hidden="false" customHeight="true" outlineLevel="0" collapsed="false">
      <c r="C9" s="16"/>
      <c r="D9" s="17"/>
      <c r="E9" s="17"/>
      <c r="F9" s="18"/>
      <c r="K9" s="3"/>
      <c r="L9" s="3"/>
      <c r="M9" s="3"/>
    </row>
    <row r="10" customFormat="false" ht="18.65" hidden="false" customHeight="true" outlineLevel="0" collapsed="false">
      <c r="A10" s="6"/>
      <c r="B10" s="19" t="s">
        <v>14</v>
      </c>
      <c r="C10" s="19"/>
      <c r="D10" s="19"/>
      <c r="E10" s="19"/>
      <c r="F10" s="19"/>
      <c r="K10" s="3"/>
      <c r="L10" s="3"/>
      <c r="M10" s="3"/>
    </row>
    <row r="11" s="7" customFormat="true" ht="18.65" hidden="false" customHeight="true" outlineLevel="0" collapsed="false">
      <c r="B11" s="20" t="s">
        <v>15</v>
      </c>
      <c r="C11" s="10" t="s">
        <v>16</v>
      </c>
      <c r="D11" s="10"/>
      <c r="E11" s="10"/>
      <c r="F11" s="21" t="s">
        <v>4</v>
      </c>
    </row>
    <row r="12" customFormat="false" ht="49.05" hidden="false" customHeight="true" outlineLevel="0" collapsed="false">
      <c r="A12" s="7"/>
      <c r="B12" s="22" t="s">
        <v>17</v>
      </c>
      <c r="C12" s="23" t="s">
        <v>18</v>
      </c>
      <c r="D12" s="24" t="s">
        <v>19</v>
      </c>
      <c r="E12" s="24"/>
      <c r="F12" s="24"/>
    </row>
    <row r="13" customFormat="false" ht="18.65" hidden="false" customHeight="true" outlineLevel="0" collapsed="false">
      <c r="A13" s="7"/>
      <c r="B13" s="20" t="s">
        <v>20</v>
      </c>
      <c r="C13" s="10" t="s">
        <v>21</v>
      </c>
      <c r="D13" s="10"/>
      <c r="E13" s="10"/>
      <c r="F13" s="25" t="s">
        <v>22</v>
      </c>
    </row>
    <row r="14" customFormat="false" ht="18.65" hidden="false" customHeight="true" outlineLevel="0" collapsed="false">
      <c r="A14" s="7"/>
      <c r="B14" s="22" t="s">
        <v>23</v>
      </c>
      <c r="C14" s="26" t="s">
        <v>24</v>
      </c>
      <c r="D14" s="26"/>
      <c r="E14" s="26"/>
      <c r="F14" s="27" t="s">
        <v>11</v>
      </c>
    </row>
    <row r="15" customFormat="false" ht="18.65" hidden="false" customHeight="true" outlineLevel="0" collapsed="false">
      <c r="A15" s="7"/>
      <c r="B15" s="22" t="s">
        <v>25</v>
      </c>
      <c r="C15" s="10" t="s">
        <v>26</v>
      </c>
      <c r="D15" s="10"/>
      <c r="E15" s="10"/>
      <c r="F15" s="28" t="n">
        <v>12</v>
      </c>
    </row>
    <row r="16" customFormat="false" ht="16.65" hidden="false" customHeight="true" outlineLevel="0" collapsed="false">
      <c r="A16" s="6"/>
      <c r="B16" s="29"/>
      <c r="C16" s="30"/>
      <c r="D16" s="31"/>
      <c r="E16" s="31"/>
      <c r="F16" s="32"/>
    </row>
    <row r="17" customFormat="false" ht="18.65" hidden="false" customHeight="true" outlineLevel="0" collapsed="false">
      <c r="A17" s="6"/>
      <c r="B17" s="19" t="s">
        <v>27</v>
      </c>
      <c r="C17" s="19"/>
      <c r="D17" s="19"/>
      <c r="E17" s="19"/>
      <c r="F17" s="19"/>
    </row>
    <row r="18" s="33" customFormat="true" ht="33.85" hidden="false" customHeight="true" outlineLevel="0" collapsed="false">
      <c r="B18" s="34" t="s">
        <v>28</v>
      </c>
      <c r="C18" s="34" t="s">
        <v>29</v>
      </c>
      <c r="D18" s="22" t="s">
        <v>30</v>
      </c>
      <c r="E18" s="22" t="s">
        <v>31</v>
      </c>
      <c r="F18" s="34" t="s">
        <v>32</v>
      </c>
      <c r="I18" s="7"/>
    </row>
    <row r="19" s="7" customFormat="true" ht="33.2" hidden="false" customHeight="true" outlineLevel="0" collapsed="false">
      <c r="B19" s="35" t="n">
        <v>1</v>
      </c>
      <c r="C19" s="35" t="s">
        <v>33</v>
      </c>
      <c r="D19" s="36" t="s">
        <v>34</v>
      </c>
      <c r="E19" s="37" t="s">
        <v>35</v>
      </c>
      <c r="F19" s="38" t="n">
        <v>2</v>
      </c>
    </row>
    <row r="20" customFormat="false" ht="18.65" hidden="false" customHeight="true" outlineLevel="0" collapsed="false">
      <c r="A20" s="7"/>
      <c r="B20" s="35" t="n">
        <v>2</v>
      </c>
      <c r="C20" s="35"/>
      <c r="D20" s="36" t="s">
        <v>36</v>
      </c>
      <c r="E20" s="37" t="s">
        <v>35</v>
      </c>
      <c r="F20" s="39" t="n">
        <v>2</v>
      </c>
    </row>
    <row r="21" s="6" customFormat="true" ht="18.65" hidden="false" customHeight="true" outlineLevel="0" collapsed="false">
      <c r="A21" s="7"/>
      <c r="B21" s="35" t="n">
        <v>3</v>
      </c>
      <c r="C21" s="35"/>
      <c r="D21" s="40" t="s">
        <v>37</v>
      </c>
      <c r="E21" s="41" t="s">
        <v>35</v>
      </c>
      <c r="F21" s="42" t="n">
        <v>3</v>
      </c>
      <c r="I21" s="7"/>
    </row>
    <row r="22" customFormat="false" ht="33.2" hidden="false" customHeight="true" outlineLevel="0" collapsed="false">
      <c r="A22" s="7"/>
      <c r="B22" s="35" t="n">
        <v>2</v>
      </c>
      <c r="C22" s="35" t="s">
        <v>38</v>
      </c>
      <c r="D22" s="36" t="s">
        <v>34</v>
      </c>
      <c r="E22" s="37" t="s">
        <v>35</v>
      </c>
      <c r="F22" s="38" t="n">
        <v>2</v>
      </c>
      <c r="I22" s="7"/>
    </row>
    <row r="23" customFormat="false" ht="18.65" hidden="false" customHeight="true" outlineLevel="0" collapsed="false">
      <c r="A23" s="7"/>
      <c r="B23" s="35"/>
      <c r="C23" s="35"/>
      <c r="D23" s="36" t="s">
        <v>36</v>
      </c>
      <c r="E23" s="37" t="s">
        <v>35</v>
      </c>
      <c r="F23" s="38" t="n">
        <v>2</v>
      </c>
    </row>
    <row r="24" customFormat="false" ht="18.65" hidden="false" customHeight="true" outlineLevel="0" collapsed="false">
      <c r="A24" s="7"/>
      <c r="B24" s="35"/>
      <c r="C24" s="35"/>
      <c r="D24" s="40" t="s">
        <v>37</v>
      </c>
      <c r="E24" s="41" t="s">
        <v>35</v>
      </c>
      <c r="F24" s="42" t="n">
        <v>1</v>
      </c>
    </row>
    <row r="25" customFormat="false" ht="33.2" hidden="false" customHeight="true" outlineLevel="0" collapsed="false">
      <c r="A25" s="7"/>
      <c r="B25" s="35" t="n">
        <v>3</v>
      </c>
      <c r="C25" s="43" t="s">
        <v>39</v>
      </c>
      <c r="D25" s="36" t="s">
        <v>34</v>
      </c>
      <c r="E25" s="37" t="s">
        <v>35</v>
      </c>
      <c r="F25" s="38" t="n">
        <v>1</v>
      </c>
    </row>
    <row r="26" customFormat="false" ht="18.65" hidden="false" customHeight="true" outlineLevel="0" collapsed="false">
      <c r="A26" s="7"/>
      <c r="B26" s="35"/>
      <c r="C26" s="43"/>
      <c r="D26" s="40" t="s">
        <v>36</v>
      </c>
      <c r="E26" s="41" t="s">
        <v>35</v>
      </c>
      <c r="F26" s="42" t="n">
        <v>1</v>
      </c>
    </row>
    <row r="27" customFormat="false" ht="33.2" hidden="false" customHeight="true" outlineLevel="0" collapsed="false">
      <c r="A27" s="7"/>
      <c r="B27" s="35" t="n">
        <v>4</v>
      </c>
      <c r="C27" s="44" t="s">
        <v>40</v>
      </c>
      <c r="D27" s="45" t="s">
        <v>34</v>
      </c>
      <c r="E27" s="37" t="s">
        <v>35</v>
      </c>
      <c r="F27" s="38" t="n">
        <v>1</v>
      </c>
    </row>
    <row r="28" customFormat="false" ht="18.65" hidden="false" customHeight="true" outlineLevel="0" collapsed="false">
      <c r="A28" s="7"/>
      <c r="B28" s="35"/>
      <c r="C28" s="44"/>
      <c r="D28" s="45" t="s">
        <v>36</v>
      </c>
      <c r="E28" s="37" t="s">
        <v>35</v>
      </c>
      <c r="F28" s="38" t="n">
        <v>1</v>
      </c>
    </row>
    <row r="29" customFormat="false" ht="18.65" hidden="false" customHeight="true" outlineLevel="0" collapsed="false">
      <c r="A29" s="7"/>
      <c r="B29" s="35"/>
      <c r="C29" s="44"/>
      <c r="D29" s="46" t="s">
        <v>37</v>
      </c>
      <c r="E29" s="41" t="s">
        <v>35</v>
      </c>
      <c r="F29" s="42" t="n">
        <v>1</v>
      </c>
    </row>
    <row r="30" customFormat="false" ht="33.2" hidden="false" customHeight="true" outlineLevel="0" collapsed="false">
      <c r="A30" s="7"/>
      <c r="B30" s="22" t="n">
        <v>5</v>
      </c>
      <c r="C30" s="34" t="s">
        <v>41</v>
      </c>
      <c r="D30" s="45" t="s">
        <v>34</v>
      </c>
      <c r="E30" s="37" t="s">
        <v>35</v>
      </c>
      <c r="F30" s="38" t="n">
        <v>1</v>
      </c>
    </row>
    <row r="31" customFormat="false" ht="18.65" hidden="false" customHeight="true" outlineLevel="0" collapsed="false">
      <c r="A31" s="7"/>
      <c r="B31" s="22"/>
      <c r="C31" s="34"/>
      <c r="D31" s="45" t="s">
        <v>36</v>
      </c>
      <c r="E31" s="37" t="s">
        <v>35</v>
      </c>
      <c r="F31" s="38" t="n">
        <v>1</v>
      </c>
    </row>
    <row r="32" customFormat="false" ht="18.65" hidden="false" customHeight="true" outlineLevel="0" collapsed="false">
      <c r="A32" s="7"/>
      <c r="B32" s="22"/>
      <c r="C32" s="34"/>
      <c r="D32" s="45" t="s">
        <v>37</v>
      </c>
      <c r="E32" s="37" t="s">
        <v>35</v>
      </c>
      <c r="F32" s="38" t="n">
        <v>1</v>
      </c>
    </row>
    <row r="33" s="7" customFormat="true" ht="16.65" hidden="false" customHeight="true" outlineLevel="0" collapsed="false">
      <c r="B33" s="47"/>
      <c r="C33" s="47"/>
      <c r="D33" s="47"/>
      <c r="E33" s="47"/>
      <c r="F33" s="47"/>
    </row>
    <row r="34" s="7" customFormat="true" ht="16.65" hidden="false" customHeight="true" outlineLevel="0" collapsed="false">
      <c r="B34" s="9" t="s">
        <v>42</v>
      </c>
      <c r="C34" s="9"/>
      <c r="D34" s="9"/>
      <c r="E34" s="9"/>
      <c r="F34" s="9"/>
    </row>
    <row r="35" s="7" customFormat="true" ht="16.65" hidden="false" customHeight="true" outlineLevel="0" collapsed="false">
      <c r="B35" s="48" t="n">
        <v>1</v>
      </c>
      <c r="C35" s="15" t="s">
        <v>43</v>
      </c>
      <c r="D35" s="15"/>
      <c r="E35" s="49" t="s">
        <v>44</v>
      </c>
      <c r="F35" s="49"/>
    </row>
    <row r="36" s="7" customFormat="true" ht="33.85" hidden="false" customHeight="true" outlineLevel="0" collapsed="false">
      <c r="A36" s="6"/>
      <c r="B36" s="48" t="n">
        <v>2</v>
      </c>
      <c r="C36" s="50" t="s">
        <v>45</v>
      </c>
      <c r="D36" s="51" t="s">
        <v>46</v>
      </c>
      <c r="E36" s="51"/>
      <c r="F36" s="51"/>
    </row>
    <row r="37" customFormat="false" ht="33.85" hidden="false" customHeight="true" outlineLevel="0" collapsed="false">
      <c r="B37" s="48" t="n">
        <v>3</v>
      </c>
      <c r="C37" s="52" t="s">
        <v>47</v>
      </c>
      <c r="D37" s="49" t="s">
        <v>48</v>
      </c>
      <c r="E37" s="49"/>
      <c r="F37" s="49"/>
    </row>
    <row r="38" customFormat="false" ht="16.65" hidden="false" customHeight="true" outlineLevel="0" collapsed="false">
      <c r="B38" s="48" t="n">
        <v>4</v>
      </c>
      <c r="C38" s="12" t="s">
        <v>49</v>
      </c>
      <c r="D38" s="12"/>
      <c r="E38" s="12"/>
      <c r="F38" s="53" t="s">
        <v>4</v>
      </c>
    </row>
    <row r="39" customFormat="false" ht="16.65" hidden="false" customHeight="true" outlineLevel="0" collapsed="false">
      <c r="B39" s="48" t="n">
        <v>5</v>
      </c>
      <c r="C39" s="15" t="s">
        <v>50</v>
      </c>
      <c r="D39" s="15"/>
      <c r="E39" s="15"/>
      <c r="F39" s="54"/>
    </row>
    <row r="40" customFormat="false" ht="16.65" hidden="false" customHeight="true" outlineLevel="0" collapsed="false">
      <c r="B40" s="55"/>
      <c r="C40" s="56"/>
      <c r="D40" s="56"/>
      <c r="E40" s="56"/>
      <c r="F40" s="57"/>
    </row>
    <row r="41" customFormat="false" ht="22.55" hidden="false" customHeight="true" outlineLevel="0" collapsed="false">
      <c r="B41" s="58" t="s">
        <v>51</v>
      </c>
      <c r="C41" s="58"/>
      <c r="D41" s="58"/>
      <c r="E41" s="58"/>
      <c r="F41" s="58"/>
    </row>
    <row r="42" customFormat="false" ht="16.65" hidden="false" customHeight="true" outlineLevel="0" collapsed="false">
      <c r="B42" s="59" t="s">
        <v>52</v>
      </c>
      <c r="E42" s="60"/>
      <c r="F42" s="60"/>
    </row>
    <row r="43" customFormat="false" ht="18.65" hidden="false" customHeight="true" outlineLevel="0" collapsed="false">
      <c r="B43" s="61" t="n">
        <v>1</v>
      </c>
      <c r="C43" s="62" t="s">
        <v>53</v>
      </c>
      <c r="D43" s="62"/>
      <c r="E43" s="62"/>
      <c r="F43" s="22" t="s">
        <v>54</v>
      </c>
    </row>
    <row r="44" customFormat="false" ht="18.65" hidden="false" customHeight="true" outlineLevel="0" collapsed="false">
      <c r="B44" s="61" t="s">
        <v>15</v>
      </c>
      <c r="C44" s="63" t="s">
        <v>55</v>
      </c>
      <c r="D44" s="63"/>
      <c r="E44" s="63"/>
      <c r="F44" s="64" t="n">
        <v>1332.15</v>
      </c>
    </row>
    <row r="45" customFormat="false" ht="18.65" hidden="false" customHeight="true" outlineLevel="0" collapsed="false">
      <c r="B45" s="61" t="s">
        <v>17</v>
      </c>
      <c r="C45" s="26" t="s">
        <v>56</v>
      </c>
      <c r="D45" s="26"/>
      <c r="E45" s="26"/>
      <c r="F45" s="65" t="n">
        <v>30</v>
      </c>
    </row>
    <row r="46" customFormat="false" ht="18.65" hidden="false" customHeight="true" outlineLevel="0" collapsed="false">
      <c r="B46" s="61" t="s">
        <v>20</v>
      </c>
      <c r="C46" s="63" t="s">
        <v>57</v>
      </c>
      <c r="D46" s="63"/>
      <c r="E46" s="63"/>
      <c r="F46" s="65" t="n">
        <v>20</v>
      </c>
    </row>
    <row r="47" customFormat="false" ht="49.05" hidden="false" customHeight="true" outlineLevel="0" collapsed="false">
      <c r="B47" s="61" t="s">
        <v>23</v>
      </c>
      <c r="C47" s="26" t="s">
        <v>58</v>
      </c>
      <c r="D47" s="26"/>
      <c r="E47" s="26"/>
      <c r="F47" s="65" t="n">
        <v>100</v>
      </c>
    </row>
    <row r="48" customFormat="false" ht="18.65" hidden="false" customHeight="true" outlineLevel="0" collapsed="false">
      <c r="B48" s="61" t="s">
        <v>25</v>
      </c>
      <c r="C48" s="63" t="s">
        <v>59</v>
      </c>
      <c r="D48" s="63"/>
      <c r="E48" s="63"/>
      <c r="F48" s="64"/>
    </row>
    <row r="49" customFormat="false" ht="18.65" hidden="false" customHeight="true" outlineLevel="0" collapsed="false">
      <c r="B49" s="61" t="s">
        <v>60</v>
      </c>
      <c r="C49" s="26" t="s">
        <v>61</v>
      </c>
      <c r="D49" s="26"/>
      <c r="E49" s="26"/>
      <c r="F49" s="64"/>
    </row>
    <row r="50" s="66" customFormat="true" ht="16.65" hidden="false" customHeight="true" outlineLevel="0" collapsed="false"/>
    <row r="51" s="66" customFormat="true" ht="33.85" hidden="false" customHeight="true" outlineLevel="0" collapsed="false">
      <c r="B51" s="67" t="s">
        <v>62</v>
      </c>
      <c r="C51" s="67"/>
      <c r="D51" s="67"/>
      <c r="E51" s="67"/>
      <c r="F51" s="67"/>
    </row>
    <row r="52" s="66" customFormat="true" ht="33.85" hidden="false" customHeight="true" outlineLevel="0" collapsed="false">
      <c r="B52" s="61" t="s">
        <v>63</v>
      </c>
      <c r="C52" s="68" t="s">
        <v>64</v>
      </c>
      <c r="D52" s="68"/>
      <c r="E52" s="22" t="s">
        <v>65</v>
      </c>
      <c r="F52" s="1"/>
    </row>
    <row r="53" s="66" customFormat="true" ht="18.65" hidden="false" customHeight="true" outlineLevel="0" collapsed="false">
      <c r="B53" s="61" t="s">
        <v>15</v>
      </c>
      <c r="C53" s="69" t="s">
        <v>66</v>
      </c>
      <c r="D53" s="69"/>
      <c r="E53" s="64" t="n">
        <v>20</v>
      </c>
      <c r="F53" s="1"/>
    </row>
    <row r="54" s="66" customFormat="true" ht="18.65" hidden="false" customHeight="true" outlineLevel="0" collapsed="false">
      <c r="B54" s="22" t="s">
        <v>17</v>
      </c>
      <c r="C54" s="26" t="s">
        <v>67</v>
      </c>
      <c r="D54" s="26"/>
      <c r="E54" s="64" t="n">
        <v>2.5</v>
      </c>
      <c r="F54" s="7"/>
    </row>
    <row r="55" s="66" customFormat="true" ht="30.65" hidden="false" customHeight="true" outlineLevel="0" collapsed="false">
      <c r="B55" s="22" t="s">
        <v>20</v>
      </c>
      <c r="C55" s="69" t="s">
        <v>68</v>
      </c>
      <c r="D55" s="69"/>
      <c r="E55" s="64" t="n">
        <v>3</v>
      </c>
      <c r="F55" s="7"/>
    </row>
    <row r="56" s="66" customFormat="true" ht="18.65" hidden="false" customHeight="true" outlineLevel="0" collapsed="false">
      <c r="B56" s="22" t="s">
        <v>23</v>
      </c>
      <c r="C56" s="26" t="s">
        <v>69</v>
      </c>
      <c r="D56" s="26"/>
      <c r="E56" s="64" t="n">
        <v>1.5</v>
      </c>
      <c r="F56" s="7"/>
    </row>
    <row r="57" s="66" customFormat="true" ht="18.65" hidden="false" customHeight="true" outlineLevel="0" collapsed="false">
      <c r="B57" s="22" t="s">
        <v>25</v>
      </c>
      <c r="C57" s="69" t="s">
        <v>70</v>
      </c>
      <c r="D57" s="69"/>
      <c r="E57" s="64" t="n">
        <v>1</v>
      </c>
      <c r="F57" s="7"/>
    </row>
    <row r="58" s="66" customFormat="true" ht="18.65" hidden="false" customHeight="true" outlineLevel="0" collapsed="false">
      <c r="B58" s="22" t="s">
        <v>60</v>
      </c>
      <c r="C58" s="26" t="s">
        <v>71</v>
      </c>
      <c r="D58" s="26"/>
      <c r="E58" s="64" t="n">
        <v>0.6</v>
      </c>
      <c r="F58" s="6"/>
    </row>
    <row r="59" s="66" customFormat="true" ht="18.65" hidden="false" customHeight="true" outlineLevel="0" collapsed="false">
      <c r="B59" s="22" t="s">
        <v>72</v>
      </c>
      <c r="C59" s="69" t="s">
        <v>73</v>
      </c>
      <c r="D59" s="69"/>
      <c r="E59" s="64" t="n">
        <v>0.2</v>
      </c>
      <c r="F59" s="6"/>
    </row>
    <row r="60" s="66" customFormat="true" ht="18.65" hidden="false" customHeight="true" outlineLevel="0" collapsed="false">
      <c r="B60" s="22" t="s">
        <v>74</v>
      </c>
      <c r="C60" s="26" t="s">
        <v>75</v>
      </c>
      <c r="D60" s="26"/>
      <c r="E60" s="64" t="n">
        <v>8</v>
      </c>
      <c r="F60" s="1"/>
    </row>
    <row r="61" s="66" customFormat="true" ht="16.65" hidden="false" customHeight="true" outlineLevel="0" collapsed="false">
      <c r="B61" s="70" t="s">
        <v>76</v>
      </c>
      <c r="C61" s="70"/>
      <c r="D61" s="70"/>
      <c r="E61" s="71" t="n">
        <f aca="false">SUM(E53:E60)</f>
        <v>36.8</v>
      </c>
      <c r="F61" s="1"/>
    </row>
    <row r="62" s="66" customFormat="true" ht="16.65" hidden="false" customHeight="true" outlineLevel="0" collapsed="false">
      <c r="B62" s="1"/>
      <c r="C62" s="1"/>
      <c r="D62" s="1"/>
      <c r="E62" s="1"/>
      <c r="F62" s="1"/>
    </row>
    <row r="63" customFormat="false" ht="16.65" hidden="false" customHeight="true" outlineLevel="0" collapsed="false">
      <c r="B63" s="59" t="s">
        <v>77</v>
      </c>
      <c r="C63" s="6"/>
      <c r="D63" s="6"/>
      <c r="E63" s="6"/>
      <c r="F63" s="6"/>
    </row>
    <row r="64" customFormat="false" ht="18.65" hidden="false" customHeight="true" outlineLevel="0" collapsed="false">
      <c r="B64" s="61" t="s">
        <v>78</v>
      </c>
      <c r="C64" s="62" t="s">
        <v>79</v>
      </c>
      <c r="D64" s="62"/>
      <c r="E64" s="22" t="s">
        <v>80</v>
      </c>
      <c r="F64" s="22" t="s">
        <v>81</v>
      </c>
    </row>
    <row r="65" customFormat="false" ht="18.65" hidden="false" customHeight="true" outlineLevel="0" collapsed="false">
      <c r="B65" s="72" t="s">
        <v>15</v>
      </c>
      <c r="C65" s="73" t="s">
        <v>82</v>
      </c>
      <c r="D65" s="15" t="s">
        <v>83</v>
      </c>
      <c r="E65" s="49" t="s">
        <v>84</v>
      </c>
      <c r="F65" s="74" t="n">
        <f aca="false">4.1*2</f>
        <v>8.2</v>
      </c>
      <c r="G65" s="75"/>
    </row>
    <row r="66" customFormat="false" ht="18.65" hidden="false" customHeight="true" outlineLevel="0" collapsed="false">
      <c r="B66" s="72" t="s">
        <v>85</v>
      </c>
      <c r="C66" s="73"/>
      <c r="D66" s="12" t="s">
        <v>86</v>
      </c>
      <c r="E66" s="51" t="s">
        <v>84</v>
      </c>
      <c r="F66" s="74" t="n">
        <f aca="false">2*3.5</f>
        <v>7</v>
      </c>
      <c r="G66" s="75"/>
    </row>
    <row r="67" customFormat="false" ht="18.65" hidden="false" customHeight="true" outlineLevel="0" collapsed="false">
      <c r="B67" s="72" t="s">
        <v>87</v>
      </c>
      <c r="C67" s="73"/>
      <c r="D67" s="15" t="s">
        <v>88</v>
      </c>
      <c r="E67" s="49" t="s">
        <v>84</v>
      </c>
      <c r="F67" s="74" t="n">
        <f aca="false">3.6*2</f>
        <v>7.2</v>
      </c>
      <c r="G67" s="75"/>
    </row>
    <row r="68" customFormat="false" ht="18.65" hidden="false" customHeight="true" outlineLevel="0" collapsed="false">
      <c r="B68" s="72" t="s">
        <v>89</v>
      </c>
      <c r="C68" s="73"/>
      <c r="D68" s="12" t="s">
        <v>90</v>
      </c>
      <c r="E68" s="51" t="s">
        <v>84</v>
      </c>
      <c r="F68" s="74" t="n">
        <f aca="false">3.7*2</f>
        <v>7.4</v>
      </c>
      <c r="G68" s="75"/>
    </row>
    <row r="69" customFormat="false" ht="18.65" hidden="false" customHeight="true" outlineLevel="0" collapsed="false">
      <c r="B69" s="72" t="s">
        <v>91</v>
      </c>
      <c r="C69" s="73"/>
      <c r="D69" s="15" t="s">
        <v>92</v>
      </c>
      <c r="E69" s="49" t="s">
        <v>84</v>
      </c>
      <c r="F69" s="74" t="n">
        <v>0</v>
      </c>
      <c r="G69" s="75"/>
    </row>
    <row r="70" customFormat="false" ht="18.65" hidden="false" customHeight="true" outlineLevel="0" collapsed="false">
      <c r="B70" s="72" t="s">
        <v>17</v>
      </c>
      <c r="C70" s="12" t="s">
        <v>93</v>
      </c>
      <c r="D70" s="12"/>
      <c r="E70" s="51" t="s">
        <v>84</v>
      </c>
      <c r="F70" s="74" t="n">
        <v>24.15</v>
      </c>
      <c r="G70" s="75"/>
    </row>
    <row r="71" customFormat="false" ht="18.65" hidden="false" customHeight="true" outlineLevel="0" collapsed="false">
      <c r="B71" s="72" t="s">
        <v>20</v>
      </c>
      <c r="C71" s="15" t="s">
        <v>94</v>
      </c>
      <c r="D71" s="15"/>
      <c r="E71" s="49" t="s">
        <v>95</v>
      </c>
      <c r="F71" s="64" t="n">
        <v>11.83</v>
      </c>
      <c r="G71" s="75"/>
    </row>
    <row r="72" customFormat="false" ht="18.65" hidden="false" customHeight="true" outlineLevel="0" collapsed="false">
      <c r="B72" s="72" t="s">
        <v>23</v>
      </c>
      <c r="C72" s="12" t="s">
        <v>96</v>
      </c>
      <c r="D72" s="12"/>
      <c r="E72" s="51" t="s">
        <v>95</v>
      </c>
      <c r="F72" s="64" t="n">
        <v>49.79</v>
      </c>
      <c r="G72" s="75"/>
    </row>
    <row r="73" customFormat="false" ht="16.65" hidden="false" customHeight="true" outlineLevel="0" collapsed="false">
      <c r="B73" s="72" t="s">
        <v>25</v>
      </c>
      <c r="C73" s="15" t="s">
        <v>97</v>
      </c>
      <c r="D73" s="15"/>
      <c r="E73" s="49"/>
      <c r="F73" s="64"/>
    </row>
    <row r="74" s="66" customFormat="true" ht="16.65" hidden="false" customHeight="true" outlineLevel="0" collapsed="false"/>
    <row r="75" s="7" customFormat="true" ht="16.65" hidden="false" customHeight="true" outlineLevel="0" collapsed="false">
      <c r="B75" s="59" t="s">
        <v>98</v>
      </c>
      <c r="C75" s="76"/>
      <c r="D75" s="77"/>
      <c r="E75" s="1"/>
      <c r="F75" s="1"/>
    </row>
    <row r="76" customFormat="false" ht="16.65" hidden="false" customHeight="true" outlineLevel="0" collapsed="false">
      <c r="A76" s="7"/>
      <c r="B76" s="59" t="s">
        <v>99</v>
      </c>
      <c r="C76" s="76"/>
      <c r="D76" s="77"/>
      <c r="E76" s="78"/>
      <c r="F76" s="78"/>
    </row>
    <row r="77" customFormat="false" ht="18.65" hidden="false" customHeight="true" outlineLevel="0" collapsed="false">
      <c r="A77" s="7"/>
      <c r="B77" s="61" t="s">
        <v>100</v>
      </c>
      <c r="C77" s="62" t="s">
        <v>101</v>
      </c>
      <c r="D77" s="62"/>
      <c r="E77" s="62"/>
      <c r="F77" s="22" t="s">
        <v>65</v>
      </c>
    </row>
    <row r="78" customFormat="false" ht="18.65" hidden="false" customHeight="true" outlineLevel="0" collapsed="false">
      <c r="A78" s="7"/>
      <c r="B78" s="22" t="s">
        <v>15</v>
      </c>
      <c r="C78" s="79" t="s">
        <v>102</v>
      </c>
      <c r="D78" s="79"/>
      <c r="E78" s="79"/>
      <c r="F78" s="80"/>
    </row>
    <row r="79" s="66" customFormat="true" ht="16.65" hidden="false" customHeight="true" outlineLevel="0" collapsed="false"/>
    <row r="80" customFormat="false" ht="16.65" hidden="false" customHeight="true" outlineLevel="0" collapsed="false">
      <c r="B80" s="59" t="s">
        <v>103</v>
      </c>
      <c r="C80" s="76"/>
      <c r="D80" s="77"/>
      <c r="E80" s="78"/>
      <c r="F80" s="78"/>
    </row>
    <row r="81" customFormat="false" ht="18.65" hidden="false" customHeight="true" outlineLevel="0" collapsed="false">
      <c r="B81" s="61" t="s">
        <v>104</v>
      </c>
      <c r="C81" s="70" t="s">
        <v>105</v>
      </c>
      <c r="D81" s="70"/>
      <c r="E81" s="70"/>
      <c r="F81" s="22" t="s">
        <v>106</v>
      </c>
    </row>
    <row r="82" customFormat="false" ht="18.65" hidden="false" customHeight="true" outlineLevel="0" collapsed="false">
      <c r="B82" s="61" t="s">
        <v>15</v>
      </c>
      <c r="C82" s="63" t="s">
        <v>107</v>
      </c>
      <c r="D82" s="63"/>
      <c r="E82" s="63"/>
      <c r="F82" s="81" t="n">
        <v>50</v>
      </c>
    </row>
    <row r="83" customFormat="false" ht="18.65" hidden="false" customHeight="true" outlineLevel="0" collapsed="false">
      <c r="B83" s="61" t="s">
        <v>17</v>
      </c>
      <c r="C83" s="26" t="s">
        <v>108</v>
      </c>
      <c r="D83" s="26"/>
      <c r="E83" s="26"/>
      <c r="F83" s="81" t="n">
        <v>60</v>
      </c>
    </row>
    <row r="84" s="66" customFormat="true" ht="16.65" hidden="false" customHeight="true" outlineLevel="0" collapsed="false"/>
    <row r="85" customFormat="false" ht="16.65" hidden="false" customHeight="true" outlineLevel="0" collapsed="false">
      <c r="B85" s="59" t="s">
        <v>109</v>
      </c>
      <c r="C85" s="76"/>
      <c r="D85" s="76"/>
      <c r="E85" s="78"/>
      <c r="F85" s="78"/>
    </row>
    <row r="86" customFormat="false" ht="18.65" hidden="false" customHeight="true" outlineLevel="0" collapsed="false">
      <c r="B86" s="82" t="n">
        <v>5</v>
      </c>
      <c r="C86" s="83" t="s">
        <v>110</v>
      </c>
      <c r="D86" s="83"/>
      <c r="E86" s="83"/>
      <c r="F86" s="84" t="s">
        <v>111</v>
      </c>
    </row>
    <row r="87" s="66" customFormat="true" ht="16.65" hidden="false" customHeight="true" outlineLevel="0" collapsed="false">
      <c r="B87" s="66" t="s">
        <v>112</v>
      </c>
    </row>
    <row r="88" s="86" customFormat="true" ht="18.65" hidden="false" customHeight="true" outlineLevel="0" collapsed="false">
      <c r="A88" s="1"/>
      <c r="B88" s="85" t="s">
        <v>113</v>
      </c>
      <c r="C88" s="85"/>
      <c r="D88" s="85"/>
      <c r="E88" s="85"/>
      <c r="F88" s="85"/>
    </row>
    <row r="89" s="87" customFormat="true" ht="18.65" hidden="false" customHeight="true" outlineLevel="0" collapsed="false">
      <c r="A89" s="1"/>
      <c r="B89" s="61" t="n">
        <v>6</v>
      </c>
      <c r="C89" s="70" t="s">
        <v>114</v>
      </c>
      <c r="D89" s="70"/>
      <c r="E89" s="70"/>
      <c r="F89" s="22" t="s">
        <v>65</v>
      </c>
      <c r="G89" s="22"/>
      <c r="H89" s="22"/>
      <c r="I89" s="22"/>
      <c r="J89" s="22"/>
    </row>
    <row r="90" customFormat="false" ht="18.65" hidden="false" customHeight="true" outlineLevel="0" collapsed="false">
      <c r="B90" s="88" t="s">
        <v>115</v>
      </c>
      <c r="C90" s="89" t="s">
        <v>116</v>
      </c>
      <c r="D90" s="89"/>
      <c r="E90" s="89"/>
      <c r="F90" s="90" t="s">
        <v>83</v>
      </c>
      <c r="G90" s="90" t="s">
        <v>86</v>
      </c>
      <c r="H90" s="90" t="s">
        <v>88</v>
      </c>
      <c r="I90" s="90" t="s">
        <v>90</v>
      </c>
      <c r="J90" s="90" t="s">
        <v>92</v>
      </c>
    </row>
    <row r="91" customFormat="false" ht="18.65" hidden="false" customHeight="true" outlineLevel="0" collapsed="false">
      <c r="A91" s="91"/>
      <c r="B91" s="61" t="s">
        <v>15</v>
      </c>
      <c r="C91" s="69" t="s">
        <v>117</v>
      </c>
      <c r="D91" s="69"/>
      <c r="E91" s="69"/>
      <c r="F91" s="74" t="n">
        <v>4.85</v>
      </c>
      <c r="G91" s="74" t="n">
        <v>4.85</v>
      </c>
      <c r="H91" s="74" t="n">
        <v>4.85</v>
      </c>
      <c r="I91" s="74" t="n">
        <v>4.85</v>
      </c>
      <c r="J91" s="74" t="n">
        <v>4.85</v>
      </c>
    </row>
    <row r="92" customFormat="false" ht="18.65" hidden="false" customHeight="true" outlineLevel="0" collapsed="false">
      <c r="A92" s="91"/>
      <c r="B92" s="22" t="s">
        <v>17</v>
      </c>
      <c r="C92" s="26" t="s">
        <v>118</v>
      </c>
      <c r="D92" s="26"/>
      <c r="E92" s="26"/>
      <c r="F92" s="74" t="n">
        <v>5.45</v>
      </c>
      <c r="G92" s="74" t="n">
        <v>5.45</v>
      </c>
      <c r="H92" s="74" t="n">
        <v>5.45</v>
      </c>
      <c r="I92" s="74" t="n">
        <v>5.45</v>
      </c>
      <c r="J92" s="74" t="n">
        <v>5.45</v>
      </c>
    </row>
    <row r="93" customFormat="false" ht="18.65" hidden="false" customHeight="true" outlineLevel="0" collapsed="false">
      <c r="A93" s="91"/>
      <c r="B93" s="90" t="s">
        <v>20</v>
      </c>
      <c r="C93" s="89" t="s">
        <v>119</v>
      </c>
      <c r="D93" s="89"/>
      <c r="E93" s="89"/>
      <c r="F93" s="90" t="s">
        <v>65</v>
      </c>
      <c r="G93" s="90"/>
      <c r="H93" s="90"/>
      <c r="I93" s="90"/>
      <c r="J93" s="90"/>
    </row>
    <row r="94" customFormat="false" ht="18.65" hidden="false" customHeight="true" outlineLevel="0" collapsed="false">
      <c r="A94" s="86"/>
      <c r="B94" s="92" t="s">
        <v>120</v>
      </c>
      <c r="C94" s="26" t="s">
        <v>121</v>
      </c>
      <c r="D94" s="26"/>
      <c r="E94" s="26" t="n">
        <f aca="false">PERC_PIS</f>
        <v>0.65</v>
      </c>
      <c r="F94" s="74" t="n">
        <v>0.65</v>
      </c>
      <c r="G94" s="74"/>
      <c r="H94" s="74"/>
      <c r="I94" s="74"/>
      <c r="J94" s="74"/>
    </row>
    <row r="95" customFormat="false" ht="18.65" hidden="false" customHeight="true" outlineLevel="0" collapsed="false">
      <c r="B95" s="92" t="s">
        <v>122</v>
      </c>
      <c r="C95" s="69" t="s">
        <v>123</v>
      </c>
      <c r="D95" s="69"/>
      <c r="E95" s="69" t="n">
        <f aca="false">PERC_COFINS</f>
        <v>3</v>
      </c>
      <c r="F95" s="74" t="n">
        <v>3</v>
      </c>
      <c r="G95" s="74"/>
      <c r="H95" s="74"/>
      <c r="I95" s="74"/>
      <c r="J95" s="74"/>
    </row>
    <row r="96" customFormat="false" ht="18.65" hidden="false" customHeight="true" outlineLevel="0" collapsed="false">
      <c r="B96" s="92" t="s">
        <v>124</v>
      </c>
      <c r="C96" s="26" t="s">
        <v>125</v>
      </c>
      <c r="D96" s="26"/>
      <c r="E96" s="26" t="n">
        <f aca="false">PERC_ISS</f>
        <v>5</v>
      </c>
      <c r="F96" s="74" t="n">
        <v>5</v>
      </c>
      <c r="G96" s="74" t="n">
        <v>5</v>
      </c>
      <c r="H96" s="74" t="n">
        <v>5</v>
      </c>
      <c r="I96" s="74" t="n">
        <v>5</v>
      </c>
      <c r="J96" s="74" t="n">
        <v>5</v>
      </c>
    </row>
    <row r="97" s="66" customFormat="true" ht="16.65" hidden="false" customHeight="true" outlineLevel="0" collapsed="false"/>
    <row r="98" customFormat="false" ht="20.2" hidden="false" customHeight="true" outlineLevel="0" collapsed="false">
      <c r="B98" s="93" t="s">
        <v>126</v>
      </c>
      <c r="C98" s="94"/>
      <c r="D98" s="94"/>
      <c r="E98" s="94"/>
      <c r="F98" s="95"/>
    </row>
    <row r="99" customFormat="false" ht="33.85" hidden="false" customHeight="true" outlineLevel="0" collapsed="false">
      <c r="B99" s="96" t="s">
        <v>127</v>
      </c>
      <c r="C99" s="96"/>
      <c r="D99" s="96"/>
      <c r="E99" s="96"/>
      <c r="F99" s="96"/>
      <c r="G99" s="96"/>
      <c r="H99" s="96"/>
      <c r="I99" s="96"/>
      <c r="J99" s="96"/>
    </row>
    <row r="100" customFormat="false" ht="35.85" hidden="false" customHeight="true" outlineLevel="0" collapsed="false">
      <c r="B100" s="97" t="s">
        <v>128</v>
      </c>
      <c r="C100" s="97"/>
      <c r="D100" s="97"/>
      <c r="E100" s="97"/>
      <c r="F100" s="97"/>
      <c r="G100" s="97"/>
      <c r="H100" s="97"/>
      <c r="I100" s="97"/>
      <c r="J100" s="97"/>
    </row>
    <row r="1048576" customFormat="false" ht="12.8" hidden="false" customHeight="false" outlineLevel="0" collapsed="false"/>
  </sheetData>
  <mergeCells count="81">
    <mergeCell ref="B1:F1"/>
    <mergeCell ref="K1:M10"/>
    <mergeCell ref="B2:D2"/>
    <mergeCell ref="B4:F4"/>
    <mergeCell ref="B5:F5"/>
    <mergeCell ref="B6:C6"/>
    <mergeCell ref="D6:F6"/>
    <mergeCell ref="B7:C7"/>
    <mergeCell ref="D7:E7"/>
    <mergeCell ref="B8:C8"/>
    <mergeCell ref="D8:E8"/>
    <mergeCell ref="B10:F10"/>
    <mergeCell ref="C11:E11"/>
    <mergeCell ref="D12:F12"/>
    <mergeCell ref="C13:E13"/>
    <mergeCell ref="C14:E14"/>
    <mergeCell ref="C15:E15"/>
    <mergeCell ref="B17:F17"/>
    <mergeCell ref="B19:B21"/>
    <mergeCell ref="C19:C21"/>
    <mergeCell ref="B22:B24"/>
    <mergeCell ref="C22:C24"/>
    <mergeCell ref="B25:B26"/>
    <mergeCell ref="C25:C26"/>
    <mergeCell ref="B27:B29"/>
    <mergeCell ref="C27:C29"/>
    <mergeCell ref="B30:B32"/>
    <mergeCell ref="C30:C32"/>
    <mergeCell ref="B34:F34"/>
    <mergeCell ref="C35:D35"/>
    <mergeCell ref="E35:F35"/>
    <mergeCell ref="D36:F36"/>
    <mergeCell ref="D37:F37"/>
    <mergeCell ref="C38:E38"/>
    <mergeCell ref="C39:E39"/>
    <mergeCell ref="B41:F41"/>
    <mergeCell ref="C43:E43"/>
    <mergeCell ref="C44:E44"/>
    <mergeCell ref="C45:E45"/>
    <mergeCell ref="C46:E46"/>
    <mergeCell ref="C47:E47"/>
    <mergeCell ref="C48:E48"/>
    <mergeCell ref="C49:E49"/>
    <mergeCell ref="B51:F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B61:D61"/>
    <mergeCell ref="C64:D64"/>
    <mergeCell ref="C65:C69"/>
    <mergeCell ref="C70:D70"/>
    <mergeCell ref="C71:D71"/>
    <mergeCell ref="C72:D72"/>
    <mergeCell ref="C73:D73"/>
    <mergeCell ref="C77:E77"/>
    <mergeCell ref="C78:E78"/>
    <mergeCell ref="C81:E81"/>
    <mergeCell ref="C82:E82"/>
    <mergeCell ref="C83:E83"/>
    <mergeCell ref="C86:E86"/>
    <mergeCell ref="B88:F88"/>
    <mergeCell ref="C89:E89"/>
    <mergeCell ref="F89:J89"/>
    <mergeCell ref="C90:E90"/>
    <mergeCell ref="C91:E91"/>
    <mergeCell ref="C92:E92"/>
    <mergeCell ref="C93:E93"/>
    <mergeCell ref="F93:J93"/>
    <mergeCell ref="C94:E94"/>
    <mergeCell ref="F94:J94"/>
    <mergeCell ref="C95:E95"/>
    <mergeCell ref="F95:J95"/>
    <mergeCell ref="C96:E96"/>
    <mergeCell ref="B99:J99"/>
    <mergeCell ref="B100:J100"/>
  </mergeCells>
  <dataValidations count="11">
    <dataValidation allowBlank="true" error="O percentual de ISS deve estar entre 2 e 5%, conforme o inciso I do artigo 8º e o caput do art. 8º-A da Lei Complementar nº 116/2003." errorTitle="Erro na inserção de dados." operator="between" showDropDown="false" showErrorMessage="true" showInputMessage="true" sqref="F96:J96" type="whole">
      <formula1>2</formula1>
      <formula2>5</formula2>
    </dataValidation>
    <dataValidation allowBlank="true" error="Tem certeza que o percentual do Cofins é diferente de 3%, previsto no art. 31 da Lei nº 10.833/2003?" errorTitle="Atentar para o percentual." operator="equal" showDropDown="false" showErrorMessage="true" showInputMessage="true" sqref="F95" type="whole">
      <formula1>3</formula1>
      <formula2>0</formula2>
    </dataValidation>
    <dataValidation allowBlank="true" error="Tem certeza que o percentual do PIS é diferente de 0,65%, previsto no art. 31 da Lei nº 10.833/2003?" errorTitle="Atentar para o percentual." operator="equal" showDropDown="false" showErrorMessage="true" showInputMessage="true" sqref="F94" type="decimal">
      <formula1>0.65</formula1>
      <formula2>0</formula2>
    </dataValidation>
    <dataValidation allowBlank="true" error="O percentual recomendado de lucro, para serviços de vigilância, é de 5,45%, conforme estudos realizados pela Auditoria Interna do MPU." errorTitle="Erro na inserção de dados." operator="between" showDropDown="false" showErrorMessage="true" showInputMessage="true" sqref="G92:J93" type="decimal">
      <formula1>0</formula1>
      <formula2>5.45</formula2>
    </dataValidation>
    <dataValidation allowBlank="true" error="O percentual recomendado de custos indiretos, para serviços de vigilância, é de 4,85%, conforme estudos realizados pela Auditoria Interna do MPU." errorTitle="Erro na inserção de dados." operator="between" showDropDown="false" showErrorMessage="true" showInputMessage="true" sqref="G91:J91" type="decimal">
      <formula1>0</formula1>
      <formula2>4.85</formula2>
    </dataValidation>
    <dataValidation allowBlank="true" error="Tem certeza que o valor do salário-base é menor do que o salário mínimo vigente no país?" errorTitle="Atentar para o valor do salário." operator="greaterThanOrEqual" showDropDown="false" showErrorMessage="true" showInputMessage="true" sqref="F44" type="decimal">
      <formula1>F28</formula1>
      <formula2>0</formula2>
    </dataValidation>
    <dataValidation allowBlank="true" operator="between" showDropDown="false" showErrorMessage="true" showInputMessage="true" sqref="F13" type="list">
      <formula1>"AC,AL,AP,AM,BA,CE,DF,ES,GO,MA,MG,MS,MT,PA,PB,PR,PE,PI,RJ,RN,RO,RR,RS,SC,SP,SE,TO"</formula1>
      <formula2>0</formula2>
    </dataValidation>
    <dataValidation allowBlank="true" operator="between" showDropDown="false" showErrorMessage="true" showInputMessage="true" sqref="F91" type="none">
      <formula1>0</formula1>
      <formula2>4.85</formula2>
    </dataValidation>
    <dataValidation allowBlank="true" operator="between" showDropDown="false" showErrorMessage="true" showInputMessage="true" sqref="F92" type="none">
      <formula1>0</formula1>
      <formula2>5.45</formula2>
    </dataValidation>
    <dataValidation allowBlank="true" operator="equal" prompt="Segundo estudos da Audin-MPU, esse item não é usual nas planilhas do MPU. Verifique se realmente há necessidade de incluí-lo." promptTitle="Intervalo Intrajornada" showDropDown="false" showErrorMessage="true" showInputMessage="false" sqref="F82" type="none">
      <formula1>0</formula1>
      <formula2>0</formula2>
    </dataValidation>
    <dataValidation allowBlank="true" error="Tem certeza que deseja incluir este item de custo e que o tempo de intervalo está de acordo com o previsto na CCT da categoria?" errorTitle="Atenção para a inclusão do item." operator="equal" prompt="Segundo estudos da Audin-MPU, esse item não é usual nas planilhas do MPU. Verifique se realmente há necessidade de incluí-lo." promptTitle="Intervalo Intrajornada" showDropDown="false" showErrorMessage="true" showInputMessage="true" sqref="F83" type="none">
      <formula1>0</formula1>
      <formula2>0</formula2>
    </dataValidation>
  </dataValidations>
  <printOptions headings="false" gridLines="false" gridLinesSet="true" horizontalCentered="false" verticalCentered="false"/>
  <pageMargins left="0.170138888888889" right="0.170138888888889" top="0.309722222222222" bottom="0.67986111111111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P6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K41" activeCellId="0" sqref="K41"/>
    </sheetView>
  </sheetViews>
  <sheetFormatPr defaultRowHeight="12.8" outlineLevelRow="0" outlineLevelCol="0"/>
  <cols>
    <col collapsed="false" customWidth="true" hidden="false" outlineLevel="0" max="1" min="1" style="0" width="3.52"/>
    <col collapsed="false" customWidth="true" hidden="false" outlineLevel="0" max="2" min="2" style="193" width="8.47"/>
    <col collapsed="false" customWidth="true" hidden="false" outlineLevel="0" max="3" min="3" style="193" width="68.42"/>
    <col collapsed="false" customWidth="true" hidden="false" outlineLevel="0" max="4" min="4" style="194" width="17.59"/>
    <col collapsed="false" customWidth="true" hidden="false" outlineLevel="0" max="5" min="5" style="194" width="18.38"/>
    <col collapsed="false" customWidth="true" hidden="false" outlineLevel="0" max="6" min="6" style="194" width="13.55"/>
    <col collapsed="false" customWidth="true" hidden="false" outlineLevel="0" max="10" min="7" style="194" width="18.47"/>
    <col collapsed="false" customWidth="true" hidden="false" outlineLevel="0" max="1025" min="11" style="0" width="11.61"/>
  </cols>
  <sheetData>
    <row r="1" customFormat="false" ht="14.15" hidden="false" customHeight="true" outlineLevel="0" collapsed="false">
      <c r="B1" s="195" t="s">
        <v>270</v>
      </c>
      <c r="C1" s="195"/>
      <c r="D1" s="195"/>
      <c r="E1" s="195"/>
      <c r="F1" s="195"/>
      <c r="G1" s="195"/>
      <c r="H1" s="195"/>
      <c r="I1" s="195"/>
      <c r="J1" s="195"/>
    </row>
    <row r="2" customFormat="false" ht="14.9" hidden="false" customHeight="true" outlineLevel="0" collapsed="false">
      <c r="B2" s="195" t="s">
        <v>220</v>
      </c>
      <c r="C2" s="195"/>
      <c r="D2" s="195"/>
      <c r="E2" s="195"/>
      <c r="F2" s="195"/>
      <c r="G2" s="195"/>
      <c r="H2" s="195"/>
      <c r="I2" s="195"/>
      <c r="J2" s="195"/>
    </row>
    <row r="3" customFormat="false" ht="14.15" hidden="false" customHeight="true" outlineLevel="0" collapsed="false">
      <c r="B3" s="196" t="s">
        <v>271</v>
      </c>
      <c r="C3" s="196"/>
      <c r="D3" s="196"/>
      <c r="E3" s="196"/>
      <c r="F3" s="196"/>
      <c r="G3" s="196"/>
      <c r="H3" s="196"/>
      <c r="I3" s="196"/>
      <c r="J3" s="196"/>
    </row>
    <row r="4" customFormat="false" ht="43.75" hidden="false" customHeight="true" outlineLevel="0" collapsed="false">
      <c r="B4" s="197" t="s">
        <v>272</v>
      </c>
      <c r="C4" s="197" t="s">
        <v>273</v>
      </c>
      <c r="D4" s="197" t="s">
        <v>274</v>
      </c>
      <c r="E4" s="197" t="s">
        <v>275</v>
      </c>
      <c r="F4" s="197" t="s">
        <v>276</v>
      </c>
      <c r="G4" s="197" t="s">
        <v>277</v>
      </c>
      <c r="H4" s="197" t="s">
        <v>278</v>
      </c>
      <c r="I4" s="197" t="s">
        <v>279</v>
      </c>
      <c r="J4" s="197" t="s">
        <v>280</v>
      </c>
      <c r="K4" s="198" t="s">
        <v>281</v>
      </c>
      <c r="L4" s="198"/>
      <c r="M4" s="198"/>
      <c r="N4" s="198"/>
      <c r="O4" s="198"/>
      <c r="P4" s="198"/>
    </row>
    <row r="5" customFormat="false" ht="15.9" hidden="false" customHeight="false" outlineLevel="0" collapsed="false">
      <c r="B5" s="197"/>
      <c r="C5" s="197"/>
      <c r="D5" s="197"/>
      <c r="E5" s="197" t="s">
        <v>250</v>
      </c>
      <c r="F5" s="197" t="s">
        <v>251</v>
      </c>
      <c r="G5" s="197" t="s">
        <v>282</v>
      </c>
      <c r="H5" s="197" t="s">
        <v>283</v>
      </c>
      <c r="I5" s="197" t="s">
        <v>284</v>
      </c>
      <c r="J5" s="197" t="s">
        <v>285</v>
      </c>
      <c r="M5" s="199"/>
    </row>
    <row r="6" customFormat="false" ht="26.85" hidden="false" customHeight="false" outlineLevel="0" collapsed="false">
      <c r="B6" s="200" t="n">
        <v>1</v>
      </c>
      <c r="C6" s="185" t="s">
        <v>286</v>
      </c>
      <c r="D6" s="186" t="s">
        <v>287</v>
      </c>
      <c r="E6" s="186" t="n">
        <v>1</v>
      </c>
      <c r="F6" s="201" t="n">
        <v>123.98</v>
      </c>
      <c r="G6" s="202" t="n">
        <f aca="false">E6*F6</f>
        <v>123.98</v>
      </c>
      <c r="H6" s="203" t="n">
        <v>60</v>
      </c>
      <c r="I6" s="203" t="n">
        <v>20</v>
      </c>
      <c r="J6" s="204" t="n">
        <f aca="false">(G6/H6)*(1-I6%)</f>
        <v>1.65306666666667</v>
      </c>
      <c r="M6" s="199"/>
      <c r="N6" s="199"/>
    </row>
    <row r="7" customFormat="false" ht="26.85" hidden="false" customHeight="false" outlineLevel="0" collapsed="false">
      <c r="B7" s="200" t="n">
        <v>2</v>
      </c>
      <c r="C7" s="187" t="s">
        <v>288</v>
      </c>
      <c r="D7" s="188" t="s">
        <v>289</v>
      </c>
      <c r="E7" s="188" t="n">
        <v>2</v>
      </c>
      <c r="F7" s="201" t="n">
        <v>536.13</v>
      </c>
      <c r="G7" s="205" t="n">
        <f aca="false">E7*F7</f>
        <v>1072.26</v>
      </c>
      <c r="H7" s="206" t="n">
        <v>60</v>
      </c>
      <c r="I7" s="206" t="n">
        <v>20</v>
      </c>
      <c r="J7" s="207" t="n">
        <f aca="false">(G7/H7)*(1-I7%)</f>
        <v>14.2968</v>
      </c>
    </row>
    <row r="8" customFormat="false" ht="102.95" hidden="false" customHeight="false" outlineLevel="0" collapsed="false">
      <c r="B8" s="200" t="n">
        <v>3</v>
      </c>
      <c r="C8" s="185" t="s">
        <v>290</v>
      </c>
      <c r="D8" s="186" t="s">
        <v>287</v>
      </c>
      <c r="E8" s="186" t="n">
        <v>1</v>
      </c>
      <c r="F8" s="201" t="n">
        <v>1512.5</v>
      </c>
      <c r="G8" s="202" t="n">
        <f aca="false">E8*F8</f>
        <v>1512.5</v>
      </c>
      <c r="H8" s="203" t="n">
        <v>120</v>
      </c>
      <c r="I8" s="203" t="n">
        <v>20</v>
      </c>
      <c r="J8" s="204" t="n">
        <f aca="false">(G8/H8)*(1-I8%)</f>
        <v>10.0833333333333</v>
      </c>
    </row>
    <row r="9" customFormat="false" ht="52.2" hidden="false" customHeight="false" outlineLevel="0" collapsed="false">
      <c r="B9" s="200" t="n">
        <v>4</v>
      </c>
      <c r="C9" s="187" t="s">
        <v>291</v>
      </c>
      <c r="D9" s="188" t="s">
        <v>287</v>
      </c>
      <c r="E9" s="188" t="n">
        <v>1</v>
      </c>
      <c r="F9" s="201" t="n">
        <v>1312.5</v>
      </c>
      <c r="G9" s="205" t="n">
        <f aca="false">E9*F9</f>
        <v>1312.5</v>
      </c>
      <c r="H9" s="206" t="n">
        <v>120</v>
      </c>
      <c r="I9" s="206" t="n">
        <v>10</v>
      </c>
      <c r="J9" s="207" t="n">
        <f aca="false">(G9/H9)*(1-I9%)</f>
        <v>9.84375</v>
      </c>
    </row>
    <row r="10" customFormat="false" ht="14.15" hidden="false" customHeight="true" outlineLevel="0" collapsed="false">
      <c r="B10" s="208" t="s">
        <v>292</v>
      </c>
      <c r="C10" s="208"/>
      <c r="D10" s="208"/>
      <c r="E10" s="208"/>
      <c r="F10" s="208"/>
      <c r="G10" s="208"/>
      <c r="H10" s="208"/>
      <c r="I10" s="208"/>
      <c r="J10" s="209" t="n">
        <f aca="false">SUM(J6:J9)</f>
        <v>35.87695</v>
      </c>
    </row>
    <row r="11" customFormat="false" ht="14.15" hidden="false" customHeight="true" outlineLevel="0" collapsed="false">
      <c r="B11" s="208" t="s">
        <v>293</v>
      </c>
      <c r="C11" s="208"/>
      <c r="D11" s="208"/>
      <c r="E11" s="208"/>
      <c r="F11" s="208"/>
      <c r="G11" s="208"/>
      <c r="H11" s="208"/>
      <c r="I11" s="208"/>
      <c r="J11" s="210" t="n">
        <v>2</v>
      </c>
    </row>
    <row r="12" customFormat="false" ht="14.15" hidden="false" customHeight="true" outlineLevel="0" collapsed="false">
      <c r="B12" s="211" t="s">
        <v>294</v>
      </c>
      <c r="C12" s="211"/>
      <c r="D12" s="211"/>
      <c r="E12" s="211"/>
      <c r="F12" s="211"/>
      <c r="G12" s="211"/>
      <c r="H12" s="211"/>
      <c r="I12" s="211"/>
      <c r="J12" s="212" t="n">
        <f aca="false">J10/J11</f>
        <v>17.938475</v>
      </c>
    </row>
    <row r="13" customFormat="false" ht="12.8" hidden="false" customHeight="false" outlineLevel="0" collapsed="false">
      <c r="B13" s="213"/>
      <c r="C13" s="213"/>
      <c r="D13" s="213"/>
      <c r="E13" s="213"/>
      <c r="F13" s="213"/>
      <c r="G13" s="213"/>
      <c r="H13" s="213"/>
      <c r="I13" s="213"/>
      <c r="J13" s="213"/>
    </row>
    <row r="14" customFormat="false" ht="14.15" hidden="false" customHeight="true" outlineLevel="0" collapsed="false">
      <c r="B14" s="196" t="s">
        <v>295</v>
      </c>
      <c r="C14" s="196"/>
      <c r="D14" s="196"/>
      <c r="E14" s="196"/>
      <c r="F14" s="196"/>
      <c r="G14" s="196"/>
      <c r="H14" s="196"/>
      <c r="I14" s="196"/>
      <c r="J14" s="196"/>
    </row>
    <row r="15" customFormat="false" ht="43.75" hidden="false" customHeight="true" outlineLevel="0" collapsed="false">
      <c r="B15" s="197" t="s">
        <v>272</v>
      </c>
      <c r="C15" s="197" t="s">
        <v>273</v>
      </c>
      <c r="D15" s="197" t="s">
        <v>274</v>
      </c>
      <c r="E15" s="197" t="s">
        <v>275</v>
      </c>
      <c r="F15" s="197" t="s">
        <v>276</v>
      </c>
      <c r="G15" s="197" t="s">
        <v>277</v>
      </c>
      <c r="H15" s="197" t="s">
        <v>278</v>
      </c>
      <c r="I15" s="197" t="s">
        <v>279</v>
      </c>
      <c r="J15" s="197" t="s">
        <v>280</v>
      </c>
    </row>
    <row r="16" customFormat="false" ht="15.9" hidden="false" customHeight="false" outlineLevel="0" collapsed="false">
      <c r="B16" s="197"/>
      <c r="C16" s="197"/>
      <c r="D16" s="197"/>
      <c r="E16" s="197" t="s">
        <v>250</v>
      </c>
      <c r="F16" s="197" t="s">
        <v>251</v>
      </c>
      <c r="G16" s="197" t="s">
        <v>282</v>
      </c>
      <c r="H16" s="197" t="s">
        <v>283</v>
      </c>
      <c r="I16" s="197" t="s">
        <v>284</v>
      </c>
      <c r="J16" s="197" t="s">
        <v>285</v>
      </c>
      <c r="M16" s="199"/>
    </row>
    <row r="17" customFormat="false" ht="26.85" hidden="false" customHeight="false" outlineLevel="0" collapsed="false">
      <c r="B17" s="200" t="n">
        <v>1</v>
      </c>
      <c r="C17" s="185" t="s">
        <v>288</v>
      </c>
      <c r="D17" s="186" t="s">
        <v>289</v>
      </c>
      <c r="E17" s="186" t="n">
        <v>2</v>
      </c>
      <c r="F17" s="201" t="n">
        <f aca="false">F7</f>
        <v>536.13</v>
      </c>
      <c r="G17" s="202" t="n">
        <f aca="false">E17*F17</f>
        <v>1072.26</v>
      </c>
      <c r="H17" s="203" t="n">
        <v>60</v>
      </c>
      <c r="I17" s="203" t="n">
        <v>20</v>
      </c>
      <c r="J17" s="204" t="n">
        <f aca="false">(G17/H17)*(1-I17%)</f>
        <v>14.2968</v>
      </c>
    </row>
    <row r="18" customFormat="false" ht="102.95" hidden="false" customHeight="false" outlineLevel="0" collapsed="false">
      <c r="B18" s="200" t="n">
        <v>2</v>
      </c>
      <c r="C18" s="187" t="s">
        <v>290</v>
      </c>
      <c r="D18" s="188" t="s">
        <v>287</v>
      </c>
      <c r="E18" s="188" t="n">
        <v>1</v>
      </c>
      <c r="F18" s="201" t="n">
        <f aca="false">F8</f>
        <v>1512.5</v>
      </c>
      <c r="G18" s="205" t="n">
        <f aca="false">E18*F18</f>
        <v>1512.5</v>
      </c>
      <c r="H18" s="206" t="n">
        <v>120</v>
      </c>
      <c r="I18" s="206" t="n">
        <v>20</v>
      </c>
      <c r="J18" s="207" t="n">
        <f aca="false">(G18/H18)*(1-I18%)</f>
        <v>10.0833333333333</v>
      </c>
      <c r="M18" s="199"/>
    </row>
    <row r="19" customFormat="false" ht="14.15" hidden="false" customHeight="true" outlineLevel="0" collapsed="false">
      <c r="B19" s="208" t="s">
        <v>292</v>
      </c>
      <c r="C19" s="208"/>
      <c r="D19" s="208"/>
      <c r="E19" s="208"/>
      <c r="F19" s="208"/>
      <c r="G19" s="208"/>
      <c r="H19" s="208"/>
      <c r="I19" s="208"/>
      <c r="J19" s="209" t="n">
        <f aca="false">SUM(J17:J18)</f>
        <v>24.3801333333333</v>
      </c>
    </row>
    <row r="20" customFormat="false" ht="14.15" hidden="false" customHeight="true" outlineLevel="0" collapsed="false">
      <c r="B20" s="208" t="s">
        <v>293</v>
      </c>
      <c r="C20" s="208"/>
      <c r="D20" s="208"/>
      <c r="E20" s="208"/>
      <c r="F20" s="208"/>
      <c r="G20" s="208"/>
      <c r="H20" s="208"/>
      <c r="I20" s="208"/>
      <c r="J20" s="210" t="n">
        <v>2</v>
      </c>
    </row>
    <row r="21" customFormat="false" ht="14.15" hidden="false" customHeight="true" outlineLevel="0" collapsed="false">
      <c r="B21" s="211" t="s">
        <v>294</v>
      </c>
      <c r="C21" s="211"/>
      <c r="D21" s="211"/>
      <c r="E21" s="211"/>
      <c r="F21" s="211"/>
      <c r="G21" s="211"/>
      <c r="H21" s="211"/>
      <c r="I21" s="211"/>
      <c r="J21" s="212" t="n">
        <f aca="false">J19/J20</f>
        <v>12.1900666666667</v>
      </c>
      <c r="M21" s="199"/>
    </row>
    <row r="22" customFormat="false" ht="12.8" hidden="false" customHeight="false" outlineLevel="0" collapsed="false">
      <c r="B22" s="213"/>
      <c r="C22" s="213"/>
      <c r="D22" s="213"/>
      <c r="E22" s="213"/>
      <c r="F22" s="213"/>
      <c r="G22" s="213"/>
      <c r="H22" s="213"/>
      <c r="I22" s="213"/>
      <c r="J22" s="213"/>
    </row>
    <row r="23" customFormat="false" ht="14.15" hidden="false" customHeight="true" outlineLevel="0" collapsed="false">
      <c r="B23" s="196" t="s">
        <v>296</v>
      </c>
      <c r="C23" s="196"/>
      <c r="D23" s="196"/>
      <c r="E23" s="196"/>
      <c r="F23" s="196"/>
      <c r="G23" s="196"/>
      <c r="H23" s="196"/>
      <c r="I23" s="196"/>
      <c r="J23" s="196"/>
    </row>
    <row r="24" customFormat="false" ht="43.75" hidden="false" customHeight="true" outlineLevel="0" collapsed="false">
      <c r="B24" s="197" t="s">
        <v>272</v>
      </c>
      <c r="C24" s="197" t="s">
        <v>273</v>
      </c>
      <c r="D24" s="197" t="s">
        <v>274</v>
      </c>
      <c r="E24" s="197" t="s">
        <v>275</v>
      </c>
      <c r="F24" s="197" t="s">
        <v>276</v>
      </c>
      <c r="G24" s="197" t="s">
        <v>277</v>
      </c>
      <c r="H24" s="197" t="s">
        <v>278</v>
      </c>
      <c r="I24" s="197" t="s">
        <v>279</v>
      </c>
      <c r="J24" s="197" t="s">
        <v>280</v>
      </c>
      <c r="M24" s="199"/>
    </row>
    <row r="25" customFormat="false" ht="15.9" hidden="false" customHeight="false" outlineLevel="0" collapsed="false">
      <c r="B25" s="197"/>
      <c r="C25" s="197"/>
      <c r="D25" s="197"/>
      <c r="E25" s="197" t="s">
        <v>250</v>
      </c>
      <c r="F25" s="197" t="s">
        <v>251</v>
      </c>
      <c r="G25" s="197" t="s">
        <v>282</v>
      </c>
      <c r="H25" s="197" t="s">
        <v>283</v>
      </c>
      <c r="I25" s="197" t="s">
        <v>284</v>
      </c>
      <c r="J25" s="197" t="s">
        <v>285</v>
      </c>
    </row>
    <row r="26" customFormat="false" ht="26.85" hidden="false" customHeight="false" outlineLevel="0" collapsed="false">
      <c r="B26" s="214" t="n">
        <v>1</v>
      </c>
      <c r="C26" s="185" t="s">
        <v>297</v>
      </c>
      <c r="D26" s="186" t="s">
        <v>287</v>
      </c>
      <c r="E26" s="186" t="n">
        <v>1</v>
      </c>
      <c r="F26" s="201" t="n">
        <v>4712.92</v>
      </c>
      <c r="G26" s="202" t="n">
        <f aca="false">E26*F26</f>
        <v>4712.92</v>
      </c>
      <c r="H26" s="203" t="n">
        <v>120</v>
      </c>
      <c r="I26" s="203" t="n">
        <v>10</v>
      </c>
      <c r="J26" s="204" t="n">
        <f aca="false">(G26/H26)*(1-I26%)</f>
        <v>35.3469</v>
      </c>
    </row>
    <row r="27" customFormat="false" ht="14.15" hidden="false" customHeight="false" outlineLevel="0" collapsed="false">
      <c r="B27" s="214" t="n">
        <v>2</v>
      </c>
      <c r="C27" s="187" t="s">
        <v>298</v>
      </c>
      <c r="D27" s="188" t="s">
        <v>287</v>
      </c>
      <c r="E27" s="188" t="n">
        <v>1</v>
      </c>
      <c r="F27" s="201" t="n">
        <v>2615.01</v>
      </c>
      <c r="G27" s="205" t="n">
        <f aca="false">E27*F27</f>
        <v>2615.01</v>
      </c>
      <c r="H27" s="206" t="n">
        <v>120</v>
      </c>
      <c r="I27" s="206" t="n">
        <v>10</v>
      </c>
      <c r="J27" s="207" t="n">
        <f aca="false">(G27/H27)*(1-I27%)</f>
        <v>19.612575</v>
      </c>
    </row>
    <row r="28" customFormat="false" ht="14.15" hidden="false" customHeight="false" outlineLevel="0" collapsed="false">
      <c r="B28" s="214" t="n">
        <v>3</v>
      </c>
      <c r="C28" s="185" t="s">
        <v>299</v>
      </c>
      <c r="D28" s="186" t="s">
        <v>287</v>
      </c>
      <c r="E28" s="186" t="n">
        <v>12</v>
      </c>
      <c r="F28" s="201" t="n">
        <v>5.92</v>
      </c>
      <c r="G28" s="202" t="n">
        <f aca="false">E28*F28</f>
        <v>71.04</v>
      </c>
      <c r="H28" s="203" t="n">
        <v>12</v>
      </c>
      <c r="I28" s="203" t="n">
        <v>0</v>
      </c>
      <c r="J28" s="204" t="n">
        <f aca="false">(G28/H28)*(1-I28%)</f>
        <v>5.92</v>
      </c>
      <c r="L28" s="199"/>
    </row>
    <row r="29" customFormat="false" ht="26.85" hidden="false" customHeight="false" outlineLevel="0" collapsed="false">
      <c r="B29" s="214" t="n">
        <v>4</v>
      </c>
      <c r="C29" s="187" t="s">
        <v>288</v>
      </c>
      <c r="D29" s="188" t="s">
        <v>287</v>
      </c>
      <c r="E29" s="188" t="n">
        <v>1</v>
      </c>
      <c r="F29" s="201" t="n">
        <f aca="false">F7</f>
        <v>536.13</v>
      </c>
      <c r="G29" s="205" t="n">
        <f aca="false">E29*F29</f>
        <v>536.13</v>
      </c>
      <c r="H29" s="206" t="n">
        <v>60</v>
      </c>
      <c r="I29" s="206" t="n">
        <v>20</v>
      </c>
      <c r="J29" s="207" t="n">
        <f aca="false">(G29/H29)*(1-I29%)</f>
        <v>7.1484</v>
      </c>
    </row>
    <row r="30" customFormat="false" ht="102.95" hidden="false" customHeight="false" outlineLevel="0" collapsed="false">
      <c r="B30" s="214" t="n">
        <v>5</v>
      </c>
      <c r="C30" s="185" t="s">
        <v>300</v>
      </c>
      <c r="D30" s="186" t="s">
        <v>287</v>
      </c>
      <c r="E30" s="186" t="n">
        <v>1</v>
      </c>
      <c r="F30" s="201" t="n">
        <f aca="false">F8</f>
        <v>1512.5</v>
      </c>
      <c r="G30" s="202" t="n">
        <f aca="false">E30*F30</f>
        <v>1512.5</v>
      </c>
      <c r="H30" s="203" t="n">
        <v>120</v>
      </c>
      <c r="I30" s="203" t="n">
        <v>20</v>
      </c>
      <c r="J30" s="204" t="n">
        <f aca="false">(G30/H30)*(1-I30%)</f>
        <v>10.0833333333333</v>
      </c>
    </row>
    <row r="31" customFormat="false" ht="14.15" hidden="false" customHeight="true" outlineLevel="0" collapsed="false">
      <c r="B31" s="208" t="s">
        <v>292</v>
      </c>
      <c r="C31" s="208"/>
      <c r="D31" s="208"/>
      <c r="E31" s="208"/>
      <c r="F31" s="208"/>
      <c r="G31" s="208"/>
      <c r="H31" s="208"/>
      <c r="I31" s="208"/>
      <c r="J31" s="209" t="n">
        <f aca="false">SUM(J26:J30)</f>
        <v>78.1112083333333</v>
      </c>
    </row>
    <row r="32" customFormat="false" ht="14.15" hidden="false" customHeight="true" outlineLevel="0" collapsed="false">
      <c r="B32" s="208" t="s">
        <v>293</v>
      </c>
      <c r="C32" s="208"/>
      <c r="D32" s="208"/>
      <c r="E32" s="208"/>
      <c r="F32" s="208"/>
      <c r="G32" s="208"/>
      <c r="H32" s="208"/>
      <c r="I32" s="208"/>
      <c r="J32" s="210" t="n">
        <v>1</v>
      </c>
    </row>
    <row r="33" customFormat="false" ht="14.15" hidden="false" customHeight="true" outlineLevel="0" collapsed="false">
      <c r="B33" s="211" t="s">
        <v>294</v>
      </c>
      <c r="C33" s="211"/>
      <c r="D33" s="211"/>
      <c r="E33" s="211"/>
      <c r="F33" s="211"/>
      <c r="G33" s="211"/>
      <c r="H33" s="211"/>
      <c r="I33" s="211"/>
      <c r="J33" s="212" t="n">
        <f aca="false">J31/J32</f>
        <v>78.1112083333333</v>
      </c>
    </row>
    <row r="34" customFormat="false" ht="12.8" hidden="false" customHeight="false" outlineLevel="0" collapsed="false">
      <c r="B34" s="213"/>
      <c r="C34" s="213"/>
      <c r="D34" s="213"/>
      <c r="E34" s="213"/>
      <c r="F34" s="213"/>
      <c r="G34" s="213"/>
      <c r="H34" s="213"/>
      <c r="I34" s="213"/>
      <c r="J34" s="213"/>
    </row>
    <row r="35" customFormat="false" ht="14.15" hidden="false" customHeight="true" outlineLevel="0" collapsed="false">
      <c r="B35" s="196" t="s">
        <v>301</v>
      </c>
      <c r="C35" s="196"/>
      <c r="D35" s="196"/>
      <c r="E35" s="196"/>
      <c r="F35" s="196"/>
      <c r="G35" s="196"/>
      <c r="H35" s="196"/>
      <c r="I35" s="196"/>
      <c r="J35" s="196"/>
      <c r="L35" s="215"/>
      <c r="N35" s="215"/>
    </row>
    <row r="36" customFormat="false" ht="43.75" hidden="false" customHeight="true" outlineLevel="0" collapsed="false">
      <c r="B36" s="197" t="s">
        <v>272</v>
      </c>
      <c r="C36" s="197" t="s">
        <v>273</v>
      </c>
      <c r="D36" s="197" t="s">
        <v>274</v>
      </c>
      <c r="E36" s="197" t="s">
        <v>275</v>
      </c>
      <c r="F36" s="197" t="s">
        <v>276</v>
      </c>
      <c r="G36" s="197" t="s">
        <v>277</v>
      </c>
      <c r="H36" s="197" t="s">
        <v>278</v>
      </c>
      <c r="I36" s="197" t="s">
        <v>279</v>
      </c>
      <c r="J36" s="197" t="s">
        <v>280</v>
      </c>
    </row>
    <row r="37" customFormat="false" ht="14.15" hidden="false" customHeight="false" outlineLevel="0" collapsed="false">
      <c r="B37" s="197"/>
      <c r="C37" s="197"/>
      <c r="D37" s="197"/>
      <c r="E37" s="197" t="s">
        <v>250</v>
      </c>
      <c r="F37" s="197" t="s">
        <v>251</v>
      </c>
      <c r="G37" s="197" t="s">
        <v>282</v>
      </c>
      <c r="H37" s="197" t="s">
        <v>283</v>
      </c>
      <c r="I37" s="197" t="s">
        <v>284</v>
      </c>
      <c r="J37" s="197" t="s">
        <v>285</v>
      </c>
    </row>
    <row r="38" customFormat="false" ht="39.55" hidden="false" customHeight="false" outlineLevel="0" collapsed="false">
      <c r="B38" s="200" t="n">
        <v>1</v>
      </c>
      <c r="C38" s="185" t="s">
        <v>298</v>
      </c>
      <c r="D38" s="186" t="s">
        <v>302</v>
      </c>
      <c r="E38" s="186" t="n">
        <v>1</v>
      </c>
      <c r="F38" s="201" t="n">
        <f aca="false">F27</f>
        <v>2615.01</v>
      </c>
      <c r="G38" s="202" t="n">
        <f aca="false">E38*F38</f>
        <v>2615.01</v>
      </c>
      <c r="H38" s="203" t="n">
        <v>120</v>
      </c>
      <c r="I38" s="203" t="n">
        <v>10</v>
      </c>
      <c r="J38" s="204" t="n">
        <f aca="false">(G38/H38)*(1-I38%)</f>
        <v>19.612575</v>
      </c>
    </row>
    <row r="39" customFormat="false" ht="39.55" hidden="false" customHeight="false" outlineLevel="0" collapsed="false">
      <c r="B39" s="200" t="n">
        <v>2</v>
      </c>
      <c r="C39" s="187" t="s">
        <v>299</v>
      </c>
      <c r="D39" s="188" t="s">
        <v>302</v>
      </c>
      <c r="E39" s="188" t="n">
        <v>10</v>
      </c>
      <c r="F39" s="201" t="n">
        <f aca="false">F28</f>
        <v>5.92</v>
      </c>
      <c r="G39" s="205" t="n">
        <f aca="false">E39*F39</f>
        <v>59.2</v>
      </c>
      <c r="H39" s="206" t="n">
        <v>12</v>
      </c>
      <c r="I39" s="206" t="n">
        <v>0</v>
      </c>
      <c r="J39" s="207" t="n">
        <f aca="false">(G39/H39)*(1-I39%)</f>
        <v>4.93333333333333</v>
      </c>
      <c r="L39" s="199"/>
    </row>
    <row r="40" customFormat="false" ht="14.15" hidden="false" customHeight="true" outlineLevel="0" collapsed="false">
      <c r="B40" s="208" t="s">
        <v>292</v>
      </c>
      <c r="C40" s="208"/>
      <c r="D40" s="208"/>
      <c r="E40" s="208"/>
      <c r="F40" s="208"/>
      <c r="G40" s="208"/>
      <c r="H40" s="208"/>
      <c r="I40" s="208"/>
      <c r="J40" s="209" t="n">
        <f aca="false">SUM(J38:J39)</f>
        <v>24.5459083333333</v>
      </c>
    </row>
    <row r="41" customFormat="false" ht="14.15" hidden="false" customHeight="true" outlineLevel="0" collapsed="false">
      <c r="B41" s="208" t="s">
        <v>303</v>
      </c>
      <c r="C41" s="208"/>
      <c r="D41" s="208"/>
      <c r="E41" s="208"/>
      <c r="F41" s="208"/>
      <c r="G41" s="208"/>
      <c r="H41" s="208"/>
      <c r="I41" s="208"/>
      <c r="J41" s="210" t="n">
        <v>2</v>
      </c>
    </row>
    <row r="42" customFormat="false" ht="14.15" hidden="false" customHeight="true" outlineLevel="0" collapsed="false">
      <c r="B42" s="208" t="s">
        <v>304</v>
      </c>
      <c r="C42" s="208"/>
      <c r="D42" s="208"/>
      <c r="E42" s="208"/>
      <c r="F42" s="208"/>
      <c r="G42" s="208"/>
      <c r="H42" s="208"/>
      <c r="I42" s="208"/>
      <c r="J42" s="210" t="n">
        <v>2</v>
      </c>
      <c r="L42" s="199"/>
    </row>
    <row r="43" customFormat="false" ht="14.15" hidden="false" customHeight="true" outlineLevel="0" collapsed="false">
      <c r="B43" s="211" t="s">
        <v>305</v>
      </c>
      <c r="C43" s="211"/>
      <c r="D43" s="211"/>
      <c r="E43" s="211"/>
      <c r="F43" s="211"/>
      <c r="G43" s="211"/>
      <c r="H43" s="211"/>
      <c r="I43" s="211"/>
      <c r="J43" s="212" t="n">
        <f aca="false">(J40/J41)/J42</f>
        <v>6.13647708333333</v>
      </c>
      <c r="L43" s="199"/>
    </row>
    <row r="44" customFormat="false" ht="12.8" hidden="false" customHeight="false" outlineLevel="0" collapsed="false">
      <c r="B44" s="213"/>
      <c r="C44" s="213"/>
      <c r="D44" s="213"/>
      <c r="E44" s="213"/>
      <c r="F44" s="213"/>
      <c r="G44" s="213"/>
      <c r="H44" s="213"/>
      <c r="I44" s="213"/>
      <c r="J44" s="213"/>
    </row>
    <row r="45" customFormat="false" ht="14.15" hidden="false" customHeight="true" outlineLevel="0" collapsed="false">
      <c r="B45" s="196" t="s">
        <v>306</v>
      </c>
      <c r="C45" s="196"/>
      <c r="D45" s="196"/>
      <c r="E45" s="196"/>
      <c r="F45" s="196"/>
      <c r="G45" s="196"/>
      <c r="H45" s="196"/>
      <c r="I45" s="196"/>
      <c r="J45" s="196"/>
      <c r="L45" s="199"/>
    </row>
    <row r="46" customFormat="false" ht="43.75" hidden="false" customHeight="true" outlineLevel="0" collapsed="false">
      <c r="B46" s="197" t="s">
        <v>272</v>
      </c>
      <c r="C46" s="197" t="s">
        <v>273</v>
      </c>
      <c r="D46" s="197" t="s">
        <v>274</v>
      </c>
      <c r="E46" s="197" t="s">
        <v>307</v>
      </c>
      <c r="F46" s="197" t="s">
        <v>276</v>
      </c>
      <c r="G46" s="197" t="s">
        <v>277</v>
      </c>
      <c r="H46" s="197" t="s">
        <v>278</v>
      </c>
      <c r="I46" s="197" t="s">
        <v>279</v>
      </c>
      <c r="J46" s="197" t="s">
        <v>280</v>
      </c>
    </row>
    <row r="47" customFormat="false" ht="14.15" hidden="false" customHeight="false" outlineLevel="0" collapsed="false">
      <c r="B47" s="197"/>
      <c r="C47" s="197"/>
      <c r="D47" s="197"/>
      <c r="E47" s="197" t="s">
        <v>250</v>
      </c>
      <c r="F47" s="197" t="s">
        <v>251</v>
      </c>
      <c r="G47" s="197" t="s">
        <v>282</v>
      </c>
      <c r="H47" s="197" t="s">
        <v>283</v>
      </c>
      <c r="I47" s="197" t="s">
        <v>284</v>
      </c>
      <c r="J47" s="197" t="s">
        <v>285</v>
      </c>
    </row>
    <row r="48" customFormat="false" ht="52.2" hidden="false" customHeight="false" outlineLevel="0" collapsed="false">
      <c r="B48" s="200" t="n">
        <v>1</v>
      </c>
      <c r="C48" s="185" t="s">
        <v>308</v>
      </c>
      <c r="D48" s="186" t="s">
        <v>309</v>
      </c>
      <c r="E48" s="186" t="n">
        <v>1</v>
      </c>
      <c r="F48" s="201" t="n">
        <f aca="false">F9</f>
        <v>1312.5</v>
      </c>
      <c r="G48" s="202" t="n">
        <f aca="false">E48*F48</f>
        <v>1312.5</v>
      </c>
      <c r="H48" s="203" t="n">
        <v>120</v>
      </c>
      <c r="I48" s="203" t="n">
        <v>10</v>
      </c>
      <c r="J48" s="204" t="n">
        <f aca="false">(G48/H48)*(1-I48%)</f>
        <v>9.84375</v>
      </c>
    </row>
    <row r="49" customFormat="false" ht="14.15" hidden="false" customHeight="true" outlineLevel="0" collapsed="false">
      <c r="B49" s="208" t="s">
        <v>310</v>
      </c>
      <c r="C49" s="208"/>
      <c r="D49" s="208"/>
      <c r="E49" s="208"/>
      <c r="F49" s="208"/>
      <c r="G49" s="208"/>
      <c r="H49" s="208"/>
      <c r="I49" s="208"/>
      <c r="J49" s="209" t="n">
        <f aca="false">J48</f>
        <v>9.84375</v>
      </c>
    </row>
    <row r="50" customFormat="false" ht="14.15" hidden="false" customHeight="true" outlineLevel="0" collapsed="false">
      <c r="B50" s="208" t="s">
        <v>311</v>
      </c>
      <c r="C50" s="208"/>
      <c r="D50" s="208"/>
      <c r="E50" s="208"/>
      <c r="F50" s="208"/>
      <c r="G50" s="208"/>
      <c r="H50" s="208"/>
      <c r="I50" s="208"/>
      <c r="J50" s="210" t="n">
        <v>3</v>
      </c>
    </row>
    <row r="51" customFormat="false" ht="14.15" hidden="false" customHeight="true" outlineLevel="0" collapsed="false">
      <c r="B51" s="208" t="s">
        <v>304</v>
      </c>
      <c r="C51" s="208"/>
      <c r="D51" s="208"/>
      <c r="E51" s="208"/>
      <c r="F51" s="208"/>
      <c r="G51" s="208"/>
      <c r="H51" s="208"/>
      <c r="I51" s="208"/>
      <c r="J51" s="210" t="n">
        <v>1</v>
      </c>
    </row>
    <row r="52" customFormat="false" ht="14.15" hidden="false" customHeight="true" outlineLevel="0" collapsed="false">
      <c r="B52" s="211" t="s">
        <v>312</v>
      </c>
      <c r="C52" s="211"/>
      <c r="D52" s="211"/>
      <c r="E52" s="211"/>
      <c r="F52" s="211"/>
      <c r="G52" s="211"/>
      <c r="H52" s="211"/>
      <c r="I52" s="211"/>
      <c r="J52" s="212" t="n">
        <f aca="false">(J49/J50)/J51</f>
        <v>3.28125</v>
      </c>
    </row>
    <row r="53" customFormat="false" ht="12.8" hidden="false" customHeight="false" outlineLevel="0" collapsed="false">
      <c r="B53" s="213"/>
      <c r="C53" s="213"/>
      <c r="D53" s="213"/>
      <c r="E53" s="213"/>
      <c r="F53" s="213"/>
      <c r="G53" s="213"/>
      <c r="H53" s="213"/>
      <c r="I53" s="213"/>
      <c r="J53" s="213"/>
    </row>
    <row r="54" customFormat="false" ht="14.15" hidden="false" customHeight="true" outlineLevel="0" collapsed="false">
      <c r="B54" s="196" t="s">
        <v>313</v>
      </c>
      <c r="C54" s="196"/>
      <c r="D54" s="196"/>
      <c r="E54" s="196"/>
      <c r="F54" s="196"/>
      <c r="G54" s="196"/>
      <c r="H54" s="196"/>
      <c r="I54" s="196"/>
      <c r="J54" s="196"/>
    </row>
    <row r="55" customFormat="false" ht="43.75" hidden="false" customHeight="true" outlineLevel="0" collapsed="false">
      <c r="B55" s="197" t="s">
        <v>272</v>
      </c>
      <c r="C55" s="197" t="s">
        <v>273</v>
      </c>
      <c r="D55" s="197" t="s">
        <v>274</v>
      </c>
      <c r="E55" s="197" t="s">
        <v>314</v>
      </c>
      <c r="F55" s="197" t="s">
        <v>276</v>
      </c>
      <c r="G55" s="197" t="s">
        <v>277</v>
      </c>
      <c r="H55" s="197" t="s">
        <v>278</v>
      </c>
      <c r="I55" s="197" t="s">
        <v>279</v>
      </c>
      <c r="J55" s="197" t="s">
        <v>280</v>
      </c>
      <c r="M55" s="199"/>
    </row>
    <row r="56" customFormat="false" ht="15.9" hidden="false" customHeight="false" outlineLevel="0" collapsed="false">
      <c r="B56" s="197"/>
      <c r="C56" s="197"/>
      <c r="D56" s="197"/>
      <c r="E56" s="197" t="s">
        <v>250</v>
      </c>
      <c r="F56" s="197" t="s">
        <v>251</v>
      </c>
      <c r="G56" s="197" t="s">
        <v>282</v>
      </c>
      <c r="H56" s="197" t="s">
        <v>283</v>
      </c>
      <c r="I56" s="197" t="s">
        <v>284</v>
      </c>
      <c r="J56" s="197" t="s">
        <v>285</v>
      </c>
      <c r="M56" s="199"/>
    </row>
    <row r="57" customFormat="false" ht="52.2" hidden="false" customHeight="false" outlineLevel="0" collapsed="false">
      <c r="B57" s="200" t="n">
        <v>1</v>
      </c>
      <c r="C57" s="185" t="s">
        <v>315</v>
      </c>
      <c r="D57" s="186" t="s">
        <v>316</v>
      </c>
      <c r="E57" s="186" t="n">
        <v>1</v>
      </c>
      <c r="F57" s="201" t="n">
        <f aca="false">F9</f>
        <v>1312.5</v>
      </c>
      <c r="G57" s="202" t="n">
        <f aca="false">E57*F57</f>
        <v>1312.5</v>
      </c>
      <c r="H57" s="203" t="n">
        <v>120</v>
      </c>
      <c r="I57" s="203" t="n">
        <v>10</v>
      </c>
      <c r="J57" s="204" t="n">
        <f aca="false">(G57/H57)*(1-I57%)</f>
        <v>9.84375</v>
      </c>
    </row>
    <row r="58" customFormat="false" ht="14.15" hidden="false" customHeight="true" outlineLevel="0" collapsed="false">
      <c r="B58" s="208" t="s">
        <v>292</v>
      </c>
      <c r="C58" s="208"/>
      <c r="D58" s="208"/>
      <c r="E58" s="208"/>
      <c r="F58" s="208"/>
      <c r="G58" s="208"/>
      <c r="H58" s="208"/>
      <c r="I58" s="208"/>
      <c r="J58" s="209" t="n">
        <f aca="false">J57</f>
        <v>9.84375</v>
      </c>
    </row>
    <row r="59" customFormat="false" ht="14.15" hidden="false" customHeight="true" outlineLevel="0" collapsed="false">
      <c r="B59" s="208" t="s">
        <v>293</v>
      </c>
      <c r="C59" s="208"/>
      <c r="D59" s="208"/>
      <c r="E59" s="208"/>
      <c r="F59" s="208"/>
      <c r="G59" s="208"/>
      <c r="H59" s="208"/>
      <c r="I59" s="208"/>
      <c r="J59" s="210" t="n">
        <v>1</v>
      </c>
    </row>
    <row r="60" customFormat="false" ht="14.15" hidden="false" customHeight="true" outlineLevel="0" collapsed="false">
      <c r="B60" s="211" t="s">
        <v>294</v>
      </c>
      <c r="C60" s="211"/>
      <c r="D60" s="211"/>
      <c r="E60" s="211"/>
      <c r="F60" s="211"/>
      <c r="G60" s="211"/>
      <c r="H60" s="211"/>
      <c r="I60" s="211"/>
      <c r="J60" s="212" t="n">
        <f aca="false">(J58/J59)</f>
        <v>9.84375</v>
      </c>
      <c r="K60" s="199"/>
      <c r="M60" s="199"/>
    </row>
    <row r="61" customFormat="false" ht="12.8" hidden="false" customHeight="false" outlineLevel="0" collapsed="false">
      <c r="B61" s="213"/>
      <c r="C61" s="213"/>
      <c r="D61" s="213"/>
      <c r="E61" s="213"/>
      <c r="F61" s="213"/>
      <c r="G61" s="213"/>
      <c r="H61" s="213"/>
      <c r="I61" s="213"/>
      <c r="J61" s="213"/>
      <c r="K61" s="199"/>
      <c r="M61" s="199"/>
    </row>
    <row r="62" customFormat="false" ht="14.15" hidden="false" customHeight="true" outlineLevel="0" collapsed="false">
      <c r="B62" s="196" t="s">
        <v>317</v>
      </c>
      <c r="C62" s="196"/>
      <c r="D62" s="196"/>
      <c r="E62" s="196"/>
      <c r="F62" s="196"/>
      <c r="G62" s="196"/>
      <c r="H62" s="196"/>
      <c r="I62" s="196"/>
      <c r="J62" s="196"/>
    </row>
    <row r="63" customFormat="false" ht="43.75" hidden="false" customHeight="true" outlineLevel="0" collapsed="false">
      <c r="B63" s="197" t="s">
        <v>272</v>
      </c>
      <c r="C63" s="197" t="s">
        <v>273</v>
      </c>
      <c r="D63" s="197" t="s">
        <v>274</v>
      </c>
      <c r="E63" s="197" t="s">
        <v>275</v>
      </c>
      <c r="F63" s="197" t="s">
        <v>276</v>
      </c>
      <c r="G63" s="197" t="s">
        <v>277</v>
      </c>
      <c r="H63" s="197" t="s">
        <v>278</v>
      </c>
      <c r="I63" s="197" t="s">
        <v>279</v>
      </c>
      <c r="J63" s="197" t="s">
        <v>280</v>
      </c>
    </row>
    <row r="64" customFormat="false" ht="14.15" hidden="false" customHeight="false" outlineLevel="0" collapsed="false">
      <c r="B64" s="197"/>
      <c r="C64" s="197"/>
      <c r="D64" s="197"/>
      <c r="E64" s="197" t="s">
        <v>250</v>
      </c>
      <c r="F64" s="197" t="s">
        <v>251</v>
      </c>
      <c r="G64" s="197" t="s">
        <v>282</v>
      </c>
      <c r="H64" s="197" t="s">
        <v>283</v>
      </c>
      <c r="I64" s="197" t="s">
        <v>284</v>
      </c>
      <c r="J64" s="197" t="s">
        <v>285</v>
      </c>
    </row>
    <row r="65" customFormat="false" ht="52.2" hidden="false" customHeight="false" outlineLevel="0" collapsed="false">
      <c r="B65" s="200" t="n">
        <v>1</v>
      </c>
      <c r="C65" s="185" t="s">
        <v>318</v>
      </c>
      <c r="D65" s="186" t="s">
        <v>319</v>
      </c>
      <c r="E65" s="186" t="n">
        <v>1</v>
      </c>
      <c r="F65" s="201" t="n">
        <f aca="false">F9</f>
        <v>1312.5</v>
      </c>
      <c r="G65" s="202" t="n">
        <f aca="false">E65*F65</f>
        <v>1312.5</v>
      </c>
      <c r="H65" s="203" t="n">
        <v>120</v>
      </c>
      <c r="I65" s="203" t="n">
        <v>10</v>
      </c>
      <c r="J65" s="204" t="n">
        <f aca="false">(G65/H65)*(1-I65%)</f>
        <v>9.84375</v>
      </c>
    </row>
    <row r="66" customFormat="false" ht="14.15" hidden="false" customHeight="true" outlineLevel="0" collapsed="false">
      <c r="B66" s="208" t="s">
        <v>292</v>
      </c>
      <c r="C66" s="208"/>
      <c r="D66" s="208"/>
      <c r="E66" s="208"/>
      <c r="F66" s="208"/>
      <c r="G66" s="208"/>
      <c r="H66" s="208"/>
      <c r="I66" s="208"/>
      <c r="J66" s="209" t="n">
        <f aca="false">J65</f>
        <v>9.84375</v>
      </c>
    </row>
    <row r="67" customFormat="false" ht="14.15" hidden="false" customHeight="true" outlineLevel="0" collapsed="false">
      <c r="B67" s="208" t="s">
        <v>293</v>
      </c>
      <c r="C67" s="208"/>
      <c r="D67" s="208"/>
      <c r="E67" s="208"/>
      <c r="F67" s="208"/>
      <c r="G67" s="208"/>
      <c r="H67" s="208"/>
      <c r="I67" s="208"/>
      <c r="J67" s="210" t="n">
        <v>2</v>
      </c>
    </row>
    <row r="68" customFormat="false" ht="14.15" hidden="false" customHeight="true" outlineLevel="0" collapsed="false">
      <c r="B68" s="211" t="s">
        <v>294</v>
      </c>
      <c r="C68" s="211"/>
      <c r="D68" s="211"/>
      <c r="E68" s="211"/>
      <c r="F68" s="211"/>
      <c r="G68" s="211"/>
      <c r="H68" s="211"/>
      <c r="I68" s="211"/>
      <c r="J68" s="212" t="n">
        <f aca="false">(J66/J67)</f>
        <v>4.921875</v>
      </c>
    </row>
    <row r="69" customFormat="false" ht="17.5" hidden="false" customHeight="true" outlineLevel="0" collapsed="false"/>
    <row r="70" customFormat="false" ht="17.5" hidden="false" customHeight="true" outlineLevel="0" collapsed="false"/>
    <row r="71" customFormat="false" ht="17.5" hidden="false" customHeight="true" outlineLevel="0" collapsed="false"/>
  </sheetData>
  <mergeCells count="60">
    <mergeCell ref="B1:J1"/>
    <mergeCell ref="B2:J2"/>
    <mergeCell ref="B3:J3"/>
    <mergeCell ref="B4:B5"/>
    <mergeCell ref="C4:C5"/>
    <mergeCell ref="D4:D5"/>
    <mergeCell ref="K4:P4"/>
    <mergeCell ref="B10:I10"/>
    <mergeCell ref="B11:I11"/>
    <mergeCell ref="B12:I12"/>
    <mergeCell ref="B13:J13"/>
    <mergeCell ref="B14:J14"/>
    <mergeCell ref="B15:B16"/>
    <mergeCell ref="C15:C16"/>
    <mergeCell ref="D15:D16"/>
    <mergeCell ref="B19:I19"/>
    <mergeCell ref="B20:I20"/>
    <mergeCell ref="B21:I21"/>
    <mergeCell ref="B22:J22"/>
    <mergeCell ref="B23:J23"/>
    <mergeCell ref="B24:B25"/>
    <mergeCell ref="C24:C25"/>
    <mergeCell ref="D24:D25"/>
    <mergeCell ref="B31:I31"/>
    <mergeCell ref="B32:I32"/>
    <mergeCell ref="B33:I33"/>
    <mergeCell ref="B34:J34"/>
    <mergeCell ref="B35:J35"/>
    <mergeCell ref="B36:B37"/>
    <mergeCell ref="C36:C37"/>
    <mergeCell ref="D36:D37"/>
    <mergeCell ref="B40:I40"/>
    <mergeCell ref="B41:I41"/>
    <mergeCell ref="B42:I42"/>
    <mergeCell ref="B43:I43"/>
    <mergeCell ref="B44:J44"/>
    <mergeCell ref="B45:J45"/>
    <mergeCell ref="B46:B47"/>
    <mergeCell ref="C46:C47"/>
    <mergeCell ref="D46:D47"/>
    <mergeCell ref="B49:I49"/>
    <mergeCell ref="B50:I50"/>
    <mergeCell ref="B51:I51"/>
    <mergeCell ref="B52:I52"/>
    <mergeCell ref="B53:J53"/>
    <mergeCell ref="B54:J54"/>
    <mergeCell ref="B55:B56"/>
    <mergeCell ref="C55:C56"/>
    <mergeCell ref="D55:D56"/>
    <mergeCell ref="B58:I58"/>
    <mergeCell ref="B59:I59"/>
    <mergeCell ref="B60:I60"/>
    <mergeCell ref="B61:J61"/>
    <mergeCell ref="B62:J62"/>
    <mergeCell ref="B63:B64"/>
    <mergeCell ref="C63:C64"/>
    <mergeCell ref="D63:D64"/>
    <mergeCell ref="B66:I66"/>
    <mergeCell ref="B67:I67"/>
    <mergeCell ref="B68:I6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8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G49" activeCellId="0" sqref="G49"/>
    </sheetView>
  </sheetViews>
  <sheetFormatPr defaultRowHeight="12.8" outlineLevelRow="0" outlineLevelCol="0"/>
  <cols>
    <col collapsed="false" customWidth="true" hidden="false" outlineLevel="0" max="1" min="1" style="216" width="1.71"/>
    <col collapsed="false" customWidth="true" hidden="false" outlineLevel="0" max="2" min="2" style="216" width="6.01"/>
    <col collapsed="false" customWidth="true" hidden="false" outlineLevel="0" max="3" min="3" style="216" width="25.79"/>
    <col collapsed="false" customWidth="true" hidden="false" outlineLevel="0" max="4" min="4" style="216" width="4.04"/>
    <col collapsed="false" customWidth="true" hidden="false" outlineLevel="0" max="5" min="5" style="216" width="30.06"/>
    <col collapsed="false" customWidth="true" hidden="false" outlineLevel="0" max="8" min="6" style="216" width="15.31"/>
    <col collapsed="false" customWidth="true" hidden="false" outlineLevel="0" max="1025" min="9" style="216" width="9.13"/>
  </cols>
  <sheetData>
    <row r="1" s="1" customFormat="true" ht="17.35" hidden="false" customHeight="false" outlineLevel="0" collapsed="false">
      <c r="B1" s="117" t="str">
        <f aca="false">RAMO</f>
        <v>RAMO: MINISTÉRIO PÚBLICO FEDERAL</v>
      </c>
      <c r="C1" s="117"/>
      <c r="D1" s="117"/>
      <c r="E1" s="117"/>
      <c r="F1" s="117"/>
      <c r="G1" s="117"/>
      <c r="H1" s="117"/>
    </row>
    <row r="2" s="1" customFormat="true" ht="17.35" hidden="false" customHeight="false" outlineLevel="0" collapsed="false">
      <c r="B2" s="118" t="str">
        <f aca="false">UG</f>
        <v>UNIDADE GESTORA (SIGLA): PRMS</v>
      </c>
      <c r="C2" s="118"/>
      <c r="D2" s="118"/>
      <c r="E2" s="118"/>
      <c r="F2" s="118"/>
      <c r="G2" s="119" t="s">
        <v>3</v>
      </c>
      <c r="H2" s="120" t="str">
        <f aca="false">DATA_APRESENTACAO_PROPOSTA</f>
        <v>XX/XX/20XX</v>
      </c>
    </row>
    <row r="3" s="1" customFormat="true" ht="8.25" hidden="false" customHeight="true" outlineLevel="0" collapsed="false">
      <c r="B3" s="7"/>
      <c r="C3" s="7"/>
      <c r="D3" s="7"/>
      <c r="E3" s="7"/>
      <c r="F3" s="7"/>
      <c r="G3" s="7"/>
      <c r="H3" s="7"/>
    </row>
    <row r="4" s="1" customFormat="true" ht="17.35" hidden="false" customHeight="false" outlineLevel="0" collapsed="false">
      <c r="B4" s="217" t="s">
        <v>320</v>
      </c>
      <c r="C4" s="217"/>
      <c r="D4" s="217"/>
      <c r="E4" s="217"/>
      <c r="F4" s="217"/>
      <c r="G4" s="217"/>
      <c r="H4" s="217"/>
    </row>
    <row r="5" s="1" customFormat="true" ht="57.75" hidden="false" customHeight="true" outlineLevel="0" collapsed="false">
      <c r="B5" s="61" t="s">
        <v>28</v>
      </c>
      <c r="C5" s="22" t="str">
        <f aca="false">'INSERÇÃO-DE-DADOS'!C18</f>
        <v>Unidade (local) de prestação de serviços</v>
      </c>
      <c r="D5" s="22"/>
      <c r="E5" s="61" t="s">
        <v>30</v>
      </c>
      <c r="F5" s="22" t="s">
        <v>321</v>
      </c>
      <c r="G5" s="22" t="s">
        <v>322</v>
      </c>
      <c r="H5" s="22" t="s">
        <v>323</v>
      </c>
    </row>
    <row r="6" s="1" customFormat="true" ht="16.4" hidden="false" customHeight="false" outlineLevel="0" collapsed="false">
      <c r="B6" s="61" t="n">
        <v>1</v>
      </c>
      <c r="C6" s="218" t="str">
        <f aca="false">'INSERÇÃO-DE-DADOS'!C19</f>
        <v>PRMS EM CAMPO GRANDE</v>
      </c>
      <c r="D6" s="218" t="s">
        <v>324</v>
      </c>
      <c r="E6" s="219" t="str">
        <f aca="false">'INSERÇÃO-DE-DADOS'!D19</f>
        <v>Vigilância 12x36 horas - noturno</v>
      </c>
      <c r="F6" s="220" t="n">
        <f aca="false">'INSERÇÃO-DE-DADOS'!F19</f>
        <v>2</v>
      </c>
      <c r="G6" s="221" t="n">
        <f aca="false">'PRMS EM CAMPO GRANDE'!F118</f>
        <v>10742.5581286112</v>
      </c>
      <c r="H6" s="221" t="n">
        <f aca="false">F6*G6</f>
        <v>21485.1162572225</v>
      </c>
    </row>
    <row r="7" s="1" customFormat="true" ht="16.4" hidden="false" customHeight="false" outlineLevel="0" collapsed="false">
      <c r="B7" s="61"/>
      <c r="C7" s="218"/>
      <c r="D7" s="218" t="s">
        <v>325</v>
      </c>
      <c r="E7" s="222" t="str">
        <f aca="false">'INSERÇÃO-DE-DADOS'!D20</f>
        <v>Vigilância 12x36 horas - diurno</v>
      </c>
      <c r="F7" s="223" t="n">
        <f aca="false">'INSERÇÃO-DE-DADOS'!F20</f>
        <v>2</v>
      </c>
      <c r="G7" s="224" t="n">
        <f aca="false">'PRMS EM CAMPO GRANDE'!G118</f>
        <v>9221.88056876831</v>
      </c>
      <c r="H7" s="224" t="n">
        <f aca="false">F7*G7</f>
        <v>18443.7611375366</v>
      </c>
    </row>
    <row r="8" s="1" customFormat="true" ht="16.4" hidden="false" customHeight="false" outlineLevel="0" collapsed="false">
      <c r="B8" s="61"/>
      <c r="C8" s="218"/>
      <c r="D8" s="218" t="s">
        <v>326</v>
      </c>
      <c r="E8" s="219" t="str">
        <f aca="false">'INSERÇÃO-DE-DADOS'!D21</f>
        <v>Vigilância 44 horas semanais</v>
      </c>
      <c r="F8" s="220" t="n">
        <f aca="false">'INSERÇÃO-DE-DADOS'!F21</f>
        <v>3</v>
      </c>
      <c r="G8" s="221" t="n">
        <f aca="false">'PRMS EM CAMPO GRANDE'!H118</f>
        <v>5014.94867563193</v>
      </c>
      <c r="H8" s="221" t="n">
        <f aca="false">F8*G8</f>
        <v>15044.8460268958</v>
      </c>
    </row>
    <row r="9" s="1" customFormat="true" ht="31.2" hidden="false" customHeight="true" outlineLevel="0" collapsed="false">
      <c r="B9" s="61"/>
      <c r="C9" s="218"/>
      <c r="D9" s="218" t="s">
        <v>327</v>
      </c>
      <c r="E9" s="225" t="s">
        <v>328</v>
      </c>
      <c r="F9" s="225"/>
      <c r="G9" s="225"/>
      <c r="H9" s="226" t="n">
        <f aca="false">SUM(H6:H8)</f>
        <v>54973.7234216549</v>
      </c>
    </row>
    <row r="10" customFormat="false" ht="16.4" hidden="false" customHeight="false" outlineLevel="0" collapsed="false">
      <c r="A10" s="1"/>
      <c r="B10" s="61" t="n">
        <v>2</v>
      </c>
      <c r="C10" s="22" t="str">
        <f aca="false">'INSERÇÃO-DE-DADOS'!C22</f>
        <v>PRM EM DOURADOS</v>
      </c>
      <c r="D10" s="22" t="s">
        <v>168</v>
      </c>
      <c r="E10" s="222" t="str">
        <f aca="false">'INSERÇÃO-DE-DADOS'!D22</f>
        <v>Vigilância 12x36 horas - noturno</v>
      </c>
      <c r="F10" s="223" t="n">
        <f aca="false">'INSERÇÃO-DE-DADOS'!F22</f>
        <v>2</v>
      </c>
      <c r="G10" s="224" t="n">
        <f aca="false">'PRM DOURADOS'!F118</f>
        <v>10693.6063923488</v>
      </c>
      <c r="H10" s="224" t="n">
        <f aca="false">F10*G10</f>
        <v>21387.2127846975</v>
      </c>
    </row>
    <row r="11" customFormat="false" ht="16.4" hidden="false" customHeight="false" outlineLevel="0" collapsed="false">
      <c r="A11" s="1"/>
      <c r="B11" s="61"/>
      <c r="C11" s="61"/>
      <c r="D11" s="22" t="s">
        <v>63</v>
      </c>
      <c r="E11" s="219" t="str">
        <f aca="false">'INSERÇÃO-DE-DADOS'!D23</f>
        <v>Vigilância 12x36 horas - diurno</v>
      </c>
      <c r="F11" s="220" t="n">
        <f aca="false">'INSERÇÃO-DE-DADOS'!F23</f>
        <v>2</v>
      </c>
      <c r="G11" s="221" t="n">
        <f aca="false">'PRM DOURADOS'!G118</f>
        <v>9172.92883250584</v>
      </c>
      <c r="H11" s="221" t="n">
        <f aca="false">F11*G11</f>
        <v>18345.8576650117</v>
      </c>
    </row>
    <row r="12" customFormat="false" ht="16.4" hidden="false" customHeight="false" outlineLevel="0" collapsed="false">
      <c r="A12" s="1"/>
      <c r="B12" s="61"/>
      <c r="C12" s="61"/>
      <c r="D12" s="22" t="s">
        <v>78</v>
      </c>
      <c r="E12" s="222" t="str">
        <f aca="false">'INSERÇÃO-DE-DADOS'!D24</f>
        <v>Vigilância 44 horas semanais</v>
      </c>
      <c r="F12" s="223" t="n">
        <f aca="false">'INSERÇÃO-DE-DADOS'!F24</f>
        <v>1</v>
      </c>
      <c r="G12" s="224" t="n">
        <f aca="false">'PRM DOURADOS'!H118</f>
        <v>4986.99357514577</v>
      </c>
      <c r="H12" s="224" t="n">
        <f aca="false">F12*G12</f>
        <v>4986.99357514577</v>
      </c>
    </row>
    <row r="13" customFormat="false" ht="16.4" hidden="false" customHeight="true" outlineLevel="0" collapsed="false">
      <c r="A13" s="1"/>
      <c r="B13" s="61"/>
      <c r="C13" s="22"/>
      <c r="D13" s="22" t="s">
        <v>329</v>
      </c>
      <c r="E13" s="225" t="s">
        <v>330</v>
      </c>
      <c r="F13" s="225"/>
      <c r="G13" s="225"/>
      <c r="H13" s="226" t="n">
        <f aca="false">SUM(H10:H12)</f>
        <v>44720.064024855</v>
      </c>
    </row>
    <row r="14" customFormat="false" ht="16.4" hidden="false" customHeight="false" outlineLevel="0" collapsed="false">
      <c r="A14" s="1"/>
      <c r="B14" s="22" t="n">
        <v>3</v>
      </c>
      <c r="C14" s="22" t="str">
        <f aca="false">'INSERÇÃO-DE-DADOS'!C25</f>
        <v>PRM EM TRÊS LAGOAS</v>
      </c>
      <c r="D14" s="22" t="s">
        <v>331</v>
      </c>
      <c r="E14" s="219" t="str">
        <f aca="false">'INSERÇÃO-DE-DADOS'!D25</f>
        <v>Vigilância 12x36 horas - noturno</v>
      </c>
      <c r="F14" s="220" t="n">
        <f aca="false">'INSERÇÃO-DE-DADOS'!F25</f>
        <v>1</v>
      </c>
      <c r="G14" s="221" t="n">
        <f aca="false">'PRM TRÊS LAGOAS'!F118</f>
        <v>10701.7650150592</v>
      </c>
      <c r="H14" s="221" t="n">
        <f aca="false">F14*G14</f>
        <v>10701.7650150592</v>
      </c>
    </row>
    <row r="15" customFormat="false" ht="16.4" hidden="false" customHeight="false" outlineLevel="0" collapsed="false">
      <c r="A15" s="1"/>
      <c r="B15" s="22"/>
      <c r="C15" s="22"/>
      <c r="D15" s="22" t="s">
        <v>332</v>
      </c>
      <c r="E15" s="222" t="str">
        <f aca="false">'INSERÇÃO-DE-DADOS'!D26</f>
        <v>Vigilância 12x36 horas - diurno</v>
      </c>
      <c r="F15" s="223" t="n">
        <f aca="false">'INSERÇÃO-DE-DADOS'!F26</f>
        <v>1</v>
      </c>
      <c r="G15" s="224" t="n">
        <f aca="false">'PRM TRÊS LAGOAS'!G118</f>
        <v>9193.00171437574</v>
      </c>
      <c r="H15" s="224" t="n">
        <f aca="false">F15*G15</f>
        <v>9193.00171437574</v>
      </c>
    </row>
    <row r="16" customFormat="false" ht="16.4" hidden="false" customHeight="true" outlineLevel="0" collapsed="false">
      <c r="A16" s="1"/>
      <c r="B16" s="22"/>
      <c r="C16" s="22"/>
      <c r="D16" s="22" t="s">
        <v>333</v>
      </c>
      <c r="E16" s="225" t="s">
        <v>334</v>
      </c>
      <c r="F16" s="225"/>
      <c r="G16" s="225"/>
      <c r="H16" s="226" t="n">
        <f aca="false">SUM(H14:H15)</f>
        <v>19894.7667294349</v>
      </c>
    </row>
    <row r="17" customFormat="false" ht="16.4" hidden="false" customHeight="false" outlineLevel="0" collapsed="false">
      <c r="A17" s="1"/>
      <c r="B17" s="22" t="n">
        <v>4</v>
      </c>
      <c r="C17" s="22" t="str">
        <f aca="false">'INSERÇÃO-DE-DADOS'!C27</f>
        <v>PRM EM CORUMBÁ</v>
      </c>
      <c r="D17" s="22" t="s">
        <v>100</v>
      </c>
      <c r="E17" s="219" t="str">
        <f aca="false">'INSERÇÃO-DE-DADOS'!D27</f>
        <v>Vigilância 12x36 horas - noturno</v>
      </c>
      <c r="F17" s="220" t="n">
        <f aca="false">'INSERÇÃO-DE-DADOS'!F27</f>
        <v>1</v>
      </c>
      <c r="G17" s="221" t="n">
        <f aca="false">'PRM CORUMBÁ'!F118</f>
        <v>10709.9236377696</v>
      </c>
      <c r="H17" s="221" t="n">
        <f aca="false">F17*G17</f>
        <v>10709.9236377696</v>
      </c>
    </row>
    <row r="18" customFormat="false" ht="16.4" hidden="false" customHeight="false" outlineLevel="0" collapsed="false">
      <c r="A18" s="1"/>
      <c r="B18" s="22"/>
      <c r="C18" s="22"/>
      <c r="D18" s="22" t="s">
        <v>104</v>
      </c>
      <c r="E18" s="222" t="str">
        <f aca="false">'INSERÇÃO-DE-DADOS'!D28</f>
        <v>Vigilância 12x36 horas - diurno</v>
      </c>
      <c r="F18" s="223" t="n">
        <f aca="false">'INSERÇÃO-DE-DADOS'!F28</f>
        <v>1</v>
      </c>
      <c r="G18" s="224" t="n">
        <f aca="false">'PRM CORUMBÁ'!G118</f>
        <v>9189.24607792667</v>
      </c>
      <c r="H18" s="224" t="n">
        <f aca="false">F18*G18</f>
        <v>9189.24607792667</v>
      </c>
    </row>
    <row r="19" customFormat="false" ht="16.4" hidden="false" customHeight="false" outlineLevel="0" collapsed="false">
      <c r="A19" s="1"/>
      <c r="B19" s="22"/>
      <c r="C19" s="22"/>
      <c r="D19" s="22" t="s">
        <v>335</v>
      </c>
      <c r="E19" s="219" t="str">
        <f aca="false">'INSERÇÃO-DE-DADOS'!D29</f>
        <v>Vigilância 44 horas semanais</v>
      </c>
      <c r="F19" s="220" t="n">
        <f aca="false">'INSERÇÃO-DE-DADOS'!F29</f>
        <v>1</v>
      </c>
      <c r="G19" s="221" t="n">
        <f aca="false">'PRM CORUMBÁ'!H118</f>
        <v>4998.95955512104</v>
      </c>
      <c r="H19" s="221" t="n">
        <f aca="false">F19*G19</f>
        <v>4998.95955512104</v>
      </c>
    </row>
    <row r="20" customFormat="false" ht="16.4" hidden="false" customHeight="true" outlineLevel="0" collapsed="false">
      <c r="A20" s="1"/>
      <c r="B20" s="22"/>
      <c r="C20" s="22"/>
      <c r="D20" s="22" t="s">
        <v>336</v>
      </c>
      <c r="E20" s="225" t="s">
        <v>337</v>
      </c>
      <c r="F20" s="225"/>
      <c r="G20" s="225"/>
      <c r="H20" s="226" t="n">
        <f aca="false">SUM(H17:H19)</f>
        <v>24898.1292708173</v>
      </c>
    </row>
    <row r="21" customFormat="false" ht="16.4" hidden="false" customHeight="false" outlineLevel="0" collapsed="false">
      <c r="A21" s="1"/>
      <c r="B21" s="22" t="n">
        <v>5</v>
      </c>
      <c r="C21" s="22" t="str">
        <f aca="false">'INSERÇÃO-DE-DADOS'!C30</f>
        <v>PRM EM NAVIRAÍ</v>
      </c>
      <c r="D21" s="22" t="s">
        <v>338</v>
      </c>
      <c r="E21" s="222" t="str">
        <f aca="false">'INSERÇÃO-DE-DADOS'!D30</f>
        <v>Vigilância 12x36 horas - noturno</v>
      </c>
      <c r="F21" s="223" t="n">
        <f aca="false">'INSERÇÃO-DE-DADOS'!F30</f>
        <v>1</v>
      </c>
      <c r="G21" s="224" t="n">
        <f aca="false">'PRM NAVIRAÍ'!F118</f>
        <v>10516.7396899211</v>
      </c>
      <c r="H21" s="224" t="n">
        <f aca="false">F21*G21</f>
        <v>10516.7396899211</v>
      </c>
    </row>
    <row r="22" customFormat="false" ht="16.4" hidden="false" customHeight="false" outlineLevel="0" collapsed="false">
      <c r="A22" s="1"/>
      <c r="B22" s="22"/>
      <c r="C22" s="22"/>
      <c r="D22" s="22" t="s">
        <v>339</v>
      </c>
      <c r="E22" s="219" t="str">
        <f aca="false">'INSERÇÃO-DE-DADOS'!D31</f>
        <v>Vigilância 12x36 horas - diurno</v>
      </c>
      <c r="F22" s="220" t="n">
        <f aca="false">'INSERÇÃO-DE-DADOS'!F31</f>
        <v>1</v>
      </c>
      <c r="G22" s="221" t="n">
        <f aca="false">'PRM NAVIRAÍ'!G118</f>
        <v>8996.06213007814</v>
      </c>
      <c r="H22" s="221" t="n">
        <f aca="false">F22*G22</f>
        <v>8996.06213007814</v>
      </c>
    </row>
    <row r="23" customFormat="false" ht="16.4" hidden="false" customHeight="false" outlineLevel="0" collapsed="false">
      <c r="A23" s="1"/>
      <c r="B23" s="22"/>
      <c r="C23" s="22"/>
      <c r="D23" s="22" t="s">
        <v>340</v>
      </c>
      <c r="E23" s="222" t="str">
        <f aca="false">'INSERÇÃO-DE-DADOS'!D32</f>
        <v>Vigilância 44 horas semanais</v>
      </c>
      <c r="F23" s="223" t="n">
        <f aca="false">'INSERÇÃO-DE-DADOS'!F32</f>
        <v>1</v>
      </c>
      <c r="G23" s="224" t="n">
        <f aca="false">'PRM NAVIRAÍ'!H118</f>
        <v>4886.27401801527</v>
      </c>
      <c r="H23" s="224" t="n">
        <f aca="false">F23*G23</f>
        <v>4886.27401801527</v>
      </c>
    </row>
    <row r="24" customFormat="false" ht="16.4" hidden="false" customHeight="true" outlineLevel="0" collapsed="false">
      <c r="A24" s="1"/>
      <c r="B24" s="22"/>
      <c r="C24" s="22"/>
      <c r="D24" s="22" t="s">
        <v>341</v>
      </c>
      <c r="E24" s="225" t="s">
        <v>342</v>
      </c>
      <c r="F24" s="225"/>
      <c r="G24" s="225"/>
      <c r="H24" s="226" t="n">
        <f aca="false">SUM(H21:H23)</f>
        <v>24399.0758380145</v>
      </c>
    </row>
    <row r="25" customFormat="false" ht="16.5" hidden="false" customHeight="true" outlineLevel="0" collapsed="false">
      <c r="A25" s="1"/>
      <c r="B25" s="62" t="s">
        <v>343</v>
      </c>
      <c r="C25" s="62"/>
      <c r="D25" s="62"/>
      <c r="E25" s="62"/>
      <c r="F25" s="62"/>
      <c r="G25" s="62"/>
      <c r="H25" s="226" t="n">
        <f aca="false">SUM(H9+H13+H16+H20+H24)</f>
        <v>168885.759284777</v>
      </c>
    </row>
    <row r="27" s="1" customFormat="true" ht="17.35" hidden="false" customHeight="false" outlineLevel="0" collapsed="false">
      <c r="B27" s="227" t="s">
        <v>344</v>
      </c>
      <c r="C27" s="227"/>
      <c r="D27" s="227"/>
      <c r="E27" s="227"/>
      <c r="F27" s="227"/>
      <c r="G27" s="227"/>
      <c r="H27" s="227"/>
    </row>
    <row r="28" customFormat="false" ht="16.4" hidden="false" customHeight="false" outlineLevel="0" collapsed="false">
      <c r="B28" s="61" t="s">
        <v>345</v>
      </c>
      <c r="C28" s="61"/>
      <c r="D28" s="61"/>
      <c r="E28" s="61"/>
      <c r="F28" s="22" t="str">
        <f aca="false">C6</f>
        <v>PRMS EM CAMPO GRANDE</v>
      </c>
      <c r="G28" s="22" t="n">
        <f aca="false">POSTO_12X36_NOT</f>
        <v>0</v>
      </c>
      <c r="H28" s="22" t="n">
        <f aca="false">POSTO_44H</f>
        <v>0</v>
      </c>
    </row>
    <row r="29" customFormat="false" ht="16.5" hidden="false" customHeight="true" outlineLevel="0" collapsed="false">
      <c r="B29" s="228" t="s">
        <v>346</v>
      </c>
      <c r="C29" s="228"/>
      <c r="D29" s="228"/>
      <c r="E29" s="228"/>
      <c r="F29" s="229" t="n">
        <f aca="false">'PRMS EM CAMPO GRANDE'!F39+'PRMS EM CAMPO GRANDE'!F51+'PRMS EM CAMPO GRANDE'!F70+'PRMS EM CAMPO GRANDE'!F82</f>
        <v>1548.14803505807</v>
      </c>
      <c r="G29" s="229" t="n">
        <f aca="false">'PRMS EM CAMPO GRANDE'!G39+'PRMS EM CAMPO GRANDE'!G51+'PRMS EM CAMPO GRANDE'!G70+'PRMS EM CAMPO GRANDE'!G82</f>
        <v>1303.71080015308</v>
      </c>
      <c r="H29" s="229" t="n">
        <f aca="false">'PRMS EM CAMPO GRANDE'!H39+'PRMS EM CAMPO GRANDE'!H51+'PRMS EM CAMPO GRANDE'!H70+'PRMS EM CAMPO GRANDE'!H82</f>
        <v>1318.31897603199</v>
      </c>
    </row>
    <row r="30" customFormat="false" ht="16.5" hidden="false" customHeight="true" outlineLevel="0" collapsed="false">
      <c r="B30" s="26" t="s">
        <v>347</v>
      </c>
      <c r="C30" s="26"/>
      <c r="D30" s="26"/>
      <c r="E30" s="26"/>
      <c r="F30" s="230" t="n">
        <f aca="false">'PRMS EM CAMPO GRANDE'!F32</f>
        <v>2086.54715162368</v>
      </c>
      <c r="G30" s="230" t="n">
        <f aca="false">'PRMS EM CAMPO GRANDE'!G32</f>
        <v>1743.60269318182</v>
      </c>
      <c r="H30" s="230" t="n">
        <f aca="false">'PRMS EM CAMPO GRANDE'!H32</f>
        <v>1731.795</v>
      </c>
    </row>
    <row r="31" customFormat="false" ht="15.6" hidden="false" customHeight="true" outlineLevel="0" collapsed="false">
      <c r="B31" s="68" t="s">
        <v>348</v>
      </c>
      <c r="C31" s="68"/>
      <c r="D31" s="68"/>
      <c r="E31" s="68"/>
      <c r="F31" s="231" t="n">
        <f aca="false">IF(IFERROR(F29/F30,0)=0,"",IFERROR(F29/F30,0))</f>
        <v>0.741966475022312</v>
      </c>
      <c r="G31" s="231" t="n">
        <f aca="false">IF(IFERROR(G29/G30,0)=0,"",IFERROR(G29/G30,0))</f>
        <v>0.747710935094967</v>
      </c>
      <c r="H31" s="231" t="n">
        <f aca="false">IF(IFERROR(H29/H30,0)=0,"",IFERROR(H29/H30,0))</f>
        <v>0.761244244285256</v>
      </c>
    </row>
    <row r="32" customFormat="false" ht="15.6" hidden="false" customHeight="false" outlineLevel="0" collapsed="false">
      <c r="B32" s="61" t="s">
        <v>345</v>
      </c>
      <c r="C32" s="61"/>
      <c r="D32" s="61"/>
      <c r="E32" s="61"/>
      <c r="F32" s="22" t="str">
        <f aca="false">C10</f>
        <v>PRM EM DOURADOS</v>
      </c>
      <c r="G32" s="22" t="n">
        <f aca="false">POSTO_12X36_NOT</f>
        <v>0</v>
      </c>
      <c r="H32" s="22" t="n">
        <f aca="false">POSTO_44H</f>
        <v>0</v>
      </c>
    </row>
    <row r="33" customFormat="false" ht="15.6" hidden="false" customHeight="true" outlineLevel="0" collapsed="false">
      <c r="B33" s="228" t="s">
        <v>346</v>
      </c>
      <c r="C33" s="228"/>
      <c r="D33" s="228"/>
      <c r="E33" s="228"/>
      <c r="F33" s="229" t="n">
        <f aca="false">'PRM DOURADOS'!F39+'PRM DOURADOS'!F51+'PRM DOURADOS'!F70+'PRM DOURADOS'!F82</f>
        <v>1545.92568436955</v>
      </c>
      <c r="G33" s="229" t="n">
        <f aca="false">'PRM DOURADOS'!G39+'PRM DOURADOS'!G51+'PRM DOURADOS'!G70+'PRM DOURADOS'!G82</f>
        <v>1301.48844946457</v>
      </c>
      <c r="H33" s="229" t="n">
        <f aca="false">'PRM DOURADOS'!H39+'PRM DOURADOS'!H51+'PRM DOURADOS'!H70+'PRM DOURADOS'!H82</f>
        <v>1315.0595283555</v>
      </c>
    </row>
    <row r="34" customFormat="false" ht="15.6" hidden="false" customHeight="true" outlineLevel="0" collapsed="false">
      <c r="B34" s="26" t="s">
        <v>347</v>
      </c>
      <c r="C34" s="26"/>
      <c r="D34" s="26"/>
      <c r="E34" s="26"/>
      <c r="F34" s="230" t="n">
        <f aca="false">'PRM DOURADOS'!F32</f>
        <v>2086.54715162368</v>
      </c>
      <c r="G34" s="230" t="n">
        <f aca="false">'PRM DOURADOS'!G32</f>
        <v>1743.60269318182</v>
      </c>
      <c r="H34" s="230" t="n">
        <f aca="false">'PRM DOURADOS'!H32</f>
        <v>1731.795</v>
      </c>
    </row>
    <row r="35" customFormat="false" ht="15.6" hidden="false" customHeight="true" outlineLevel="0" collapsed="false">
      <c r="B35" s="68" t="s">
        <v>348</v>
      </c>
      <c r="C35" s="68"/>
      <c r="D35" s="68"/>
      <c r="E35" s="68"/>
      <c r="F35" s="231" t="n">
        <f aca="false">IF(IFERROR(F33/F34,0)=0,"",IFERROR(F33/F34,0))</f>
        <v>0.740901389727314</v>
      </c>
      <c r="G35" s="231" t="n">
        <f aca="false">IF(IFERROR(G33/G34,0)=0,"",IFERROR(G33/G34,0))</f>
        <v>0.746436361078075</v>
      </c>
      <c r="H35" s="231" t="n">
        <f aca="false">IF(IFERROR(H33/H34,0)=0,"",IFERROR(H33/H34,0))</f>
        <v>0.759362123320312</v>
      </c>
    </row>
    <row r="36" customFormat="false" ht="15.6" hidden="false" customHeight="false" outlineLevel="0" collapsed="false">
      <c r="B36" s="61" t="s">
        <v>345</v>
      </c>
      <c r="C36" s="61"/>
      <c r="D36" s="61"/>
      <c r="E36" s="61"/>
      <c r="F36" s="22" t="str">
        <f aca="false">C14</f>
        <v>PRM EM TRÊS LAGOAS</v>
      </c>
      <c r="G36" s="22" t="n">
        <f aca="false">POSTO_12X36_NOT</f>
        <v>0</v>
      </c>
      <c r="H36" s="22" t="n">
        <f aca="false">POSTO_44H</f>
        <v>0</v>
      </c>
    </row>
    <row r="37" customFormat="false" ht="16.4" hidden="false" customHeight="true" outlineLevel="0" collapsed="false">
      <c r="B37" s="228" t="s">
        <v>346</v>
      </c>
      <c r="C37" s="228"/>
      <c r="D37" s="228"/>
      <c r="E37" s="228"/>
      <c r="F37" s="229" t="n">
        <f aca="false">'PRM TRÊS LAGOAS'!F39+'PRM TRÊS LAGOAS'!F51+'PRM TRÊS LAGOAS'!F70+'PRM TRÊS LAGOAS'!F82</f>
        <v>1546.29607615097</v>
      </c>
      <c r="G37" s="229" t="n">
        <f aca="false">'PRM TRÊS LAGOAS'!G39+'PRM TRÊS LAGOAS'!G51+'PRM TRÊS LAGOAS'!G70+'PRM TRÊS LAGOAS'!G82</f>
        <v>1301.85884124599</v>
      </c>
      <c r="H37" s="229" t="n">
        <f aca="false">'PRM TRÊS LAGOAS'!H39+'PRM TRÊS LAGOAS'!H51+'PRM TRÊS LAGOAS'!H70+'PRM TRÊS LAGOAS'!H82</f>
        <v>1315.60276963491</v>
      </c>
    </row>
    <row r="38" customFormat="false" ht="15.6" hidden="false" customHeight="true" outlineLevel="0" collapsed="false">
      <c r="B38" s="26" t="s">
        <v>347</v>
      </c>
      <c r="C38" s="26"/>
      <c r="D38" s="26"/>
      <c r="E38" s="26"/>
      <c r="F38" s="230" t="n">
        <f aca="false">'PRM TRÊS LAGOAS'!F32</f>
        <v>2086.54715162368</v>
      </c>
      <c r="G38" s="230" t="n">
        <f aca="false">'PRM TRÊS LAGOAS'!G32</f>
        <v>1743.60269318182</v>
      </c>
      <c r="H38" s="230" t="n">
        <f aca="false">'PRM TRÊS LAGOAS'!H32</f>
        <v>1731.795</v>
      </c>
    </row>
    <row r="39" customFormat="false" ht="15.6" hidden="false" customHeight="true" outlineLevel="0" collapsed="false">
      <c r="B39" s="68" t="s">
        <v>348</v>
      </c>
      <c r="C39" s="68"/>
      <c r="D39" s="68"/>
      <c r="E39" s="68"/>
      <c r="F39" s="231" t="n">
        <f aca="false">IF(IFERROR(F37/F38,0)=0,"",IFERROR(F37/F38,0))</f>
        <v>0.741078903943147</v>
      </c>
      <c r="G39" s="231" t="n">
        <f aca="false">IF(IFERROR(G37/G38,0)=0,"",IFERROR(G37/G38,0))</f>
        <v>0.74664879008089</v>
      </c>
      <c r="H39" s="231" t="n">
        <f aca="false">IF(IFERROR(H37/H38,0)=0,"",IFERROR(H37/H38,0))</f>
        <v>0.759675810147803</v>
      </c>
    </row>
    <row r="40" customFormat="false" ht="15.6" hidden="false" customHeight="false" outlineLevel="0" collapsed="false">
      <c r="B40" s="61" t="s">
        <v>345</v>
      </c>
      <c r="C40" s="61"/>
      <c r="D40" s="61"/>
      <c r="E40" s="61"/>
      <c r="F40" s="22" t="str">
        <f aca="false">C17</f>
        <v>PRM EM CORUMBÁ</v>
      </c>
      <c r="G40" s="22" t="n">
        <f aca="false">POSTO_12X36_NOT</f>
        <v>0</v>
      </c>
      <c r="H40" s="22" t="n">
        <f aca="false">POSTO_44H</f>
        <v>0</v>
      </c>
    </row>
    <row r="41" customFormat="false" ht="15.6" hidden="false" customHeight="true" outlineLevel="0" collapsed="false">
      <c r="B41" s="228" t="s">
        <v>346</v>
      </c>
      <c r="C41" s="228"/>
      <c r="D41" s="228"/>
      <c r="E41" s="228"/>
      <c r="F41" s="229" t="n">
        <f aca="false">'PRM CORUMBÁ'!F39+'PRM CORUMBÁ'!F51+'PRM CORUMBÁ'!F70+'PRM CORUMBÁ'!F82</f>
        <v>1546.66646793239</v>
      </c>
      <c r="G41" s="229" t="n">
        <f aca="false">'PRM CORUMBÁ'!G39+'PRM CORUMBÁ'!G51+'PRM CORUMBÁ'!G70+'PRM CORUMBÁ'!G82</f>
        <v>1302.22923302741</v>
      </c>
      <c r="H41" s="229" t="n">
        <f aca="false">'PRM CORUMBÁ'!H39+'PRM CORUMBÁ'!H51+'PRM CORUMBÁ'!H70+'PRM CORUMBÁ'!H82</f>
        <v>1316.14601091433</v>
      </c>
    </row>
    <row r="42" customFormat="false" ht="15.6" hidden="false" customHeight="true" outlineLevel="0" collapsed="false">
      <c r="B42" s="26" t="s">
        <v>347</v>
      </c>
      <c r="C42" s="26"/>
      <c r="D42" s="26"/>
      <c r="E42" s="26"/>
      <c r="F42" s="230" t="n">
        <f aca="false">'PRM CORUMBÁ'!F32</f>
        <v>2086.54715162368</v>
      </c>
      <c r="G42" s="230" t="n">
        <f aca="false">'PRM CORUMBÁ'!G32</f>
        <v>1743.60269318182</v>
      </c>
      <c r="H42" s="230" t="n">
        <f aca="false">'PRM CORUMBÁ'!H32</f>
        <v>1731.795</v>
      </c>
    </row>
    <row r="43" customFormat="false" ht="15.6" hidden="false" customHeight="true" outlineLevel="0" collapsed="false">
      <c r="B43" s="68" t="s">
        <v>348</v>
      </c>
      <c r="C43" s="68"/>
      <c r="D43" s="68"/>
      <c r="E43" s="68"/>
      <c r="F43" s="231" t="n">
        <f aca="false">IF(IFERROR(F41/F42,0)=0,"",IFERROR(F41/F42,0))</f>
        <v>0.74125641815898</v>
      </c>
      <c r="G43" s="231" t="n">
        <f aca="false">IF(IFERROR(G41/G42,0)=0,"",IFERROR(G41/G42,0))</f>
        <v>0.746861219083706</v>
      </c>
      <c r="H43" s="231" t="n">
        <f aca="false">IF(IFERROR(H41/H42,0)=0,"",IFERROR(H41/H42,0))</f>
        <v>0.759989496975294</v>
      </c>
    </row>
    <row r="44" customFormat="false" ht="15.6" hidden="false" customHeight="false" outlineLevel="0" collapsed="false">
      <c r="B44" s="61" t="s">
        <v>345</v>
      </c>
      <c r="C44" s="61"/>
      <c r="D44" s="61"/>
      <c r="E44" s="61"/>
      <c r="F44" s="22" t="str">
        <f aca="false">C21</f>
        <v>PRM EM NAVIRAÍ</v>
      </c>
      <c r="G44" s="22" t="n">
        <f aca="false">POSTO_12X36_NOT</f>
        <v>0</v>
      </c>
      <c r="H44" s="22" t="n">
        <f aca="false">POSTO_44H</f>
        <v>0</v>
      </c>
    </row>
    <row r="45" customFormat="false" ht="16.4" hidden="false" customHeight="true" outlineLevel="0" collapsed="false">
      <c r="B45" s="228" t="s">
        <v>346</v>
      </c>
      <c r="C45" s="228"/>
      <c r="D45" s="228"/>
      <c r="E45" s="228"/>
      <c r="F45" s="229" t="n">
        <f aca="false">'PRM NAVIRAÍ'!F39+'PRM NAVIRAÍ'!F51+'PRM NAVIRAÍ'!F70+'PRM NAVIRAÍ'!F82</f>
        <v>1537.89614613607</v>
      </c>
      <c r="G45" s="229" t="n">
        <f aca="false">'PRM NAVIRAÍ'!G39+'PRM NAVIRAÍ'!G51+'PRM NAVIRAÍ'!G70+'PRM NAVIRAÍ'!G82</f>
        <v>1293.45891123108</v>
      </c>
      <c r="H45" s="229" t="n">
        <f aca="false">'PRM NAVIRAÍ'!H39+'PRM NAVIRAÍ'!H51+'PRM NAVIRAÍ'!H70+'PRM NAVIRAÍ'!H82</f>
        <v>1305.91443180834</v>
      </c>
    </row>
    <row r="46" customFormat="false" ht="16.4" hidden="false" customHeight="true" outlineLevel="0" collapsed="false">
      <c r="B46" s="26" t="s">
        <v>347</v>
      </c>
      <c r="C46" s="26"/>
      <c r="D46" s="26"/>
      <c r="E46" s="26"/>
      <c r="F46" s="230" t="n">
        <f aca="false">'PRM NAVIRAÍ'!F32</f>
        <v>2086.54715162368</v>
      </c>
      <c r="G46" s="230" t="n">
        <f aca="false">'PRM NAVIRAÍ'!G32</f>
        <v>1743.60269318182</v>
      </c>
      <c r="H46" s="230" t="n">
        <f aca="false">'PRM NAVIRAÍ'!H32</f>
        <v>1731.795</v>
      </c>
    </row>
    <row r="47" customFormat="false" ht="15.6" hidden="false" customHeight="true" outlineLevel="0" collapsed="false">
      <c r="B47" s="68" t="s">
        <v>348</v>
      </c>
      <c r="C47" s="68"/>
      <c r="D47" s="68"/>
      <c r="E47" s="68"/>
      <c r="F47" s="231" t="n">
        <f aca="false">IF(IFERROR(F45/F46,0)=0,"",IFERROR(F45/F46,0))</f>
        <v>0.737053147799382</v>
      </c>
      <c r="G47" s="231" t="n">
        <f aca="false">IF(IFERROR(G45/G46,0)=0,"",IFERROR(G45/G46,0))</f>
        <v>0.741831218940542</v>
      </c>
      <c r="H47" s="231" t="n">
        <f aca="false">IF(IFERROR(H45/H46,0)=0,"",IFERROR(H45/H46,0))</f>
        <v>0.754081419456889</v>
      </c>
    </row>
    <row r="48" customFormat="false" ht="12.8" hidden="false" customHeight="false" outlineLevel="0" collapsed="false">
      <c r="B48" s="232" t="s">
        <v>349</v>
      </c>
      <c r="C48" s="232"/>
      <c r="D48" s="232"/>
      <c r="E48" s="232"/>
      <c r="F48" s="232"/>
    </row>
    <row r="50" s="1" customFormat="true" ht="17.35" hidden="false" customHeight="false" outlineLevel="0" collapsed="false">
      <c r="B50" s="227" t="s">
        <v>350</v>
      </c>
      <c r="C50" s="227"/>
      <c r="D50" s="227"/>
      <c r="E50" s="227"/>
      <c r="F50" s="227"/>
      <c r="G50" s="227"/>
      <c r="H50" s="227"/>
    </row>
    <row r="51" customFormat="false" ht="16.4" hidden="false" customHeight="false" outlineLevel="0" collapsed="false">
      <c r="B51" s="61" t="s">
        <v>345</v>
      </c>
      <c r="C51" s="61"/>
      <c r="D51" s="61"/>
      <c r="E51" s="61"/>
      <c r="F51" s="22" t="str">
        <f aca="false">C6</f>
        <v>PRMS EM CAMPO GRANDE</v>
      </c>
      <c r="G51" s="22" t="n">
        <f aca="false">POSTO_12X36_NOT</f>
        <v>0</v>
      </c>
      <c r="H51" s="22" t="n">
        <f aca="false">POSTO_44H</f>
        <v>0</v>
      </c>
    </row>
    <row r="52" customFormat="false" ht="31.3" hidden="false" customHeight="false" outlineLevel="0" collapsed="false">
      <c r="B52" s="61"/>
      <c r="C52" s="61"/>
      <c r="D52" s="61"/>
      <c r="E52" s="61"/>
      <c r="F52" s="22" t="str">
        <f aca="false">E6</f>
        <v>Vigilância 12x36 horas - noturno</v>
      </c>
      <c r="G52" s="22" t="str">
        <f aca="false">E7</f>
        <v>Vigilância 12x36 horas - diurno</v>
      </c>
      <c r="H52" s="22" t="str">
        <f aca="false">E8</f>
        <v>Vigilância 44 horas semanais</v>
      </c>
    </row>
    <row r="53" s="232" customFormat="true" ht="16.5" hidden="false" customHeight="true" outlineLevel="0" collapsed="false">
      <c r="B53" s="233" t="s">
        <v>351</v>
      </c>
      <c r="C53" s="233"/>
      <c r="D53" s="233"/>
      <c r="E53" s="233"/>
      <c r="F53" s="234" t="n">
        <f aca="false">G6</f>
        <v>10742.5581286112</v>
      </c>
      <c r="G53" s="234" t="n">
        <f aca="false">G7</f>
        <v>9221.88056876831</v>
      </c>
      <c r="H53" s="234" t="n">
        <f aca="false">G8</f>
        <v>5014.94867563193</v>
      </c>
    </row>
    <row r="54" customFormat="false" ht="16.4" hidden="false" customHeight="true" outlineLevel="0" collapsed="false">
      <c r="B54" s="23" t="s">
        <v>352</v>
      </c>
      <c r="C54" s="23"/>
      <c r="D54" s="23"/>
      <c r="E54" s="23"/>
      <c r="F54" s="139" t="n">
        <f aca="false">LIMITE_MÍNIMO_12X36_NOT_MS</f>
        <v>11068.79</v>
      </c>
      <c r="G54" s="139" t="n">
        <f aca="false">LIMITE_MÍNIMO_12X36_DIU_MS</f>
        <v>9332.23</v>
      </c>
      <c r="H54" s="139" t="n">
        <f aca="false">LIMITE_MÍNIMO_44_HORAS_MS</f>
        <v>5192.12</v>
      </c>
    </row>
    <row r="55" customFormat="false" ht="31.2" hidden="false" customHeight="true" outlineLevel="0" collapsed="false">
      <c r="B55" s="235" t="s">
        <v>353</v>
      </c>
      <c r="C55" s="235"/>
      <c r="D55" s="235"/>
      <c r="E55" s="235"/>
      <c r="F55" s="236" t="str">
        <f aca="false">IF(F53="","Não se aplica.",IF(F54&lt;=F53,"SIM, está em conformidade.", "NÃO, é inferior."))</f>
        <v>NÃO, é inferior.</v>
      </c>
      <c r="G55" s="236" t="str">
        <f aca="false">IF(G53="","Não se aplica.",IF(G54&lt;=G53,"SIM, está em conformidade.", "NÃO, é inferior."))</f>
        <v>NÃO, é inferior.</v>
      </c>
      <c r="H55" s="236" t="str">
        <f aca="false">IF(H53="","Não se aplica.",IF(H54&lt;=H53,"SIM, está em conformidade.", "NÃO, é inferior."))</f>
        <v>NÃO, é inferior.</v>
      </c>
    </row>
    <row r="56" customFormat="false" ht="16.4" hidden="false" customHeight="true" outlineLevel="0" collapsed="false">
      <c r="B56" s="237" t="s">
        <v>354</v>
      </c>
      <c r="C56" s="237"/>
      <c r="D56" s="237"/>
      <c r="E56" s="237"/>
      <c r="F56" s="104" t="n">
        <f aca="false">LIMITE_MÁXIMO_12X36_NOT_MS</f>
        <v>12028.09</v>
      </c>
      <c r="G56" s="104" t="n">
        <f aca="false">LIMITE_MÁXIMO_12X36_DIU_MS</f>
        <v>10140.01</v>
      </c>
      <c r="H56" s="104" t="n">
        <f aca="false">LIMITE_MÁXIMO_44_HORAS_MS</f>
        <v>5698.6</v>
      </c>
    </row>
    <row r="57" customFormat="false" ht="31.2" hidden="false" customHeight="true" outlineLevel="0" collapsed="false">
      <c r="B57" s="235" t="s">
        <v>355</v>
      </c>
      <c r="C57" s="235"/>
      <c r="D57" s="235"/>
      <c r="E57" s="235"/>
      <c r="F57" s="236" t="str">
        <f aca="false">IF(F53="","Não se aplica.",IF(F56&lt;=F55,"SIM, está em conformidade.", "NÃO, é inferior."))</f>
        <v>SIM, está em conformidade.</v>
      </c>
      <c r="G57" s="236" t="str">
        <f aca="false">IF(G53="","Não se aplica.",IF(G56&lt;=G55,"SIM, está em conformidade.", "NÃO, é inferior."))</f>
        <v>SIM, está em conformidade.</v>
      </c>
      <c r="H57" s="236" t="str">
        <f aca="false">IF(H53="","Não se aplica.",IF(H56&lt;=H55,"SIM, está em conformidade.", "NÃO, é inferior."))</f>
        <v>SIM, está em conformidade.</v>
      </c>
    </row>
    <row r="58" customFormat="false" ht="16.4" hidden="false" customHeight="false" outlineLevel="0" collapsed="false">
      <c r="B58" s="61" t="s">
        <v>345</v>
      </c>
      <c r="C58" s="61"/>
      <c r="D58" s="61"/>
      <c r="E58" s="61"/>
      <c r="F58" s="22" t="str">
        <f aca="false">C10</f>
        <v>PRM EM DOURADOS</v>
      </c>
      <c r="G58" s="22" t="n">
        <f aca="false">POSTO_12X36_NOT</f>
        <v>0</v>
      </c>
      <c r="H58" s="22" t="n">
        <f aca="false">POSTO_44H</f>
        <v>0</v>
      </c>
    </row>
    <row r="59" customFormat="false" ht="31.3" hidden="false" customHeight="false" outlineLevel="0" collapsed="false">
      <c r="B59" s="61"/>
      <c r="C59" s="61"/>
      <c r="D59" s="61"/>
      <c r="E59" s="61"/>
      <c r="F59" s="22" t="str">
        <f aca="false">E10</f>
        <v>Vigilância 12x36 horas - noturno</v>
      </c>
      <c r="G59" s="22" t="str">
        <f aca="false">E11</f>
        <v>Vigilância 12x36 horas - diurno</v>
      </c>
      <c r="H59" s="22" t="str">
        <f aca="false">E12</f>
        <v>Vigilância 44 horas semanais</v>
      </c>
    </row>
    <row r="60" customFormat="false" ht="16.4" hidden="false" customHeight="true" outlineLevel="0" collapsed="false">
      <c r="B60" s="233" t="s">
        <v>351</v>
      </c>
      <c r="C60" s="233"/>
      <c r="D60" s="233"/>
      <c r="E60" s="233"/>
      <c r="F60" s="234" t="n">
        <f aca="false">G10</f>
        <v>10693.6063923488</v>
      </c>
      <c r="G60" s="234" t="n">
        <f aca="false">G11</f>
        <v>9172.92883250584</v>
      </c>
      <c r="H60" s="234" t="n">
        <f aca="false">G12</f>
        <v>4986.99357514577</v>
      </c>
    </row>
    <row r="61" customFormat="false" ht="16.4" hidden="false" customHeight="true" outlineLevel="0" collapsed="false">
      <c r="B61" s="23" t="s">
        <v>352</v>
      </c>
      <c r="C61" s="23"/>
      <c r="D61" s="23"/>
      <c r="E61" s="23"/>
      <c r="F61" s="139" t="n">
        <f aca="false">F54</f>
        <v>11068.79</v>
      </c>
      <c r="G61" s="139" t="n">
        <f aca="false">G54</f>
        <v>9332.23</v>
      </c>
      <c r="H61" s="139" t="n">
        <f aca="false">H54</f>
        <v>5192.12</v>
      </c>
    </row>
    <row r="62" customFormat="false" ht="31.2" hidden="false" customHeight="true" outlineLevel="0" collapsed="false">
      <c r="B62" s="235" t="s">
        <v>353</v>
      </c>
      <c r="C62" s="235"/>
      <c r="D62" s="235"/>
      <c r="E62" s="235"/>
      <c r="F62" s="236" t="str">
        <f aca="false">IF(F60="","Não se aplica.",IF(F61&lt;=F60,"SIM, está em conformidade.", "NÃO, é inferior."))</f>
        <v>NÃO, é inferior.</v>
      </c>
      <c r="G62" s="236" t="str">
        <f aca="false">IF(G60="","Não se aplica.",IF(G61&lt;=G60,"SIM, está em conformidade.", "NÃO, é inferior."))</f>
        <v>NÃO, é inferior.</v>
      </c>
      <c r="H62" s="236" t="str">
        <f aca="false">IF(H60="","Não se aplica.",IF(H61&lt;=H60,"SIM, está em conformidade.", "NÃO, é inferior."))</f>
        <v>NÃO, é inferior.</v>
      </c>
    </row>
    <row r="63" customFormat="false" ht="16.4" hidden="false" customHeight="true" outlineLevel="0" collapsed="false">
      <c r="B63" s="237" t="s">
        <v>354</v>
      </c>
      <c r="C63" s="237"/>
      <c r="D63" s="237"/>
      <c r="E63" s="237"/>
      <c r="F63" s="104" t="n">
        <f aca="false">F56</f>
        <v>12028.09</v>
      </c>
      <c r="G63" s="104" t="n">
        <f aca="false">G56</f>
        <v>10140.01</v>
      </c>
      <c r="H63" s="104" t="n">
        <f aca="false">H56</f>
        <v>5698.6</v>
      </c>
    </row>
    <row r="64" customFormat="false" ht="31.2" hidden="false" customHeight="true" outlineLevel="0" collapsed="false">
      <c r="B64" s="235" t="s">
        <v>355</v>
      </c>
      <c r="C64" s="235"/>
      <c r="D64" s="235"/>
      <c r="E64" s="235"/>
      <c r="F64" s="236" t="str">
        <f aca="false">IF(F60="","Não se aplica.",IF(F63&lt;=F62,"SIM, está em conformidade.", "NÃO, é inferior."))</f>
        <v>SIM, está em conformidade.</v>
      </c>
      <c r="G64" s="236" t="str">
        <f aca="false">IF(G60="","Não se aplica.",IF(G63&lt;=G62,"SIM, está em conformidade.", "NÃO, é inferior."))</f>
        <v>SIM, está em conformidade.</v>
      </c>
      <c r="H64" s="236" t="str">
        <f aca="false">IF(H60="","Não se aplica.",IF(H63&lt;=H62,"SIM, está em conformidade.", "NÃO, é inferior."))</f>
        <v>SIM, está em conformidade.</v>
      </c>
    </row>
    <row r="65" customFormat="false" ht="16.4" hidden="false" customHeight="false" outlineLevel="0" collapsed="false">
      <c r="B65" s="61" t="s">
        <v>345</v>
      </c>
      <c r="C65" s="61"/>
      <c r="D65" s="61"/>
      <c r="E65" s="61"/>
      <c r="F65" s="22" t="str">
        <f aca="false">C14</f>
        <v>PRM EM TRÊS LAGOAS</v>
      </c>
      <c r="G65" s="22" t="n">
        <f aca="false">POSTO_12X36_NOT</f>
        <v>0</v>
      </c>
      <c r="H65" s="22" t="n">
        <f aca="false">POSTO_44H</f>
        <v>0</v>
      </c>
    </row>
    <row r="66" customFormat="false" ht="31.5" hidden="false" customHeight="false" outlineLevel="0" collapsed="false">
      <c r="B66" s="61"/>
      <c r="C66" s="61"/>
      <c r="D66" s="61"/>
      <c r="E66" s="61"/>
      <c r="F66" s="22" t="str">
        <f aca="false">E17</f>
        <v>Vigilância 12x36 horas - noturno</v>
      </c>
      <c r="G66" s="22" t="str">
        <f aca="false">E18</f>
        <v>Vigilância 12x36 horas - diurno</v>
      </c>
      <c r="H66" s="22" t="str">
        <f aca="false">E19</f>
        <v>Vigilância 44 horas semanais</v>
      </c>
    </row>
    <row r="67" customFormat="false" ht="15.75" hidden="false" customHeight="true" outlineLevel="0" collapsed="false">
      <c r="B67" s="233" t="s">
        <v>351</v>
      </c>
      <c r="C67" s="233"/>
      <c r="D67" s="233"/>
      <c r="E67" s="233"/>
      <c r="F67" s="234" t="n">
        <f aca="false">G14</f>
        <v>10701.7650150592</v>
      </c>
      <c r="G67" s="234" t="n">
        <f aca="false">G15</f>
        <v>9193.00171437574</v>
      </c>
      <c r="H67" s="238" t="s">
        <v>356</v>
      </c>
    </row>
    <row r="68" customFormat="false" ht="16.4" hidden="false" customHeight="true" outlineLevel="0" collapsed="false">
      <c r="B68" s="23" t="s">
        <v>352</v>
      </c>
      <c r="C68" s="23"/>
      <c r="D68" s="23"/>
      <c r="E68" s="23"/>
      <c r="F68" s="139" t="n">
        <f aca="false">F54</f>
        <v>11068.79</v>
      </c>
      <c r="G68" s="139" t="n">
        <f aca="false">G54</f>
        <v>9332.23</v>
      </c>
      <c r="H68" s="139" t="n">
        <f aca="false">H54</f>
        <v>5192.12</v>
      </c>
    </row>
    <row r="69" customFormat="false" ht="31.5" hidden="false" customHeight="true" outlineLevel="0" collapsed="false">
      <c r="B69" s="235" t="s">
        <v>353</v>
      </c>
      <c r="C69" s="235"/>
      <c r="D69" s="235"/>
      <c r="E69" s="235"/>
      <c r="F69" s="236" t="str">
        <f aca="false">IF(F67="","Não se aplica.",IF(F68&lt;=F67,"SIM, está em conformidade.", "NÃO, é inferior."))</f>
        <v>NÃO, é inferior.</v>
      </c>
      <c r="G69" s="236" t="str">
        <f aca="false">IF(G67="","Não se aplica.",IF(G68&lt;=G67,"SIM, está em conformidade.", "NÃO, é inferior."))</f>
        <v>NÃO, é inferior.</v>
      </c>
      <c r="H69" s="236" t="str">
        <f aca="false">IF(H67="","Não se aplica.",IF(H68&lt;=H67,"SIM, está em conformidade.", "NÃO, é inferior."))</f>
        <v>SIM, está em conformidade.</v>
      </c>
    </row>
    <row r="70" customFormat="false" ht="16.4" hidden="false" customHeight="true" outlineLevel="0" collapsed="false">
      <c r="B70" s="237" t="s">
        <v>354</v>
      </c>
      <c r="C70" s="237"/>
      <c r="D70" s="237"/>
      <c r="E70" s="237"/>
      <c r="F70" s="104" t="n">
        <f aca="false">F56</f>
        <v>12028.09</v>
      </c>
      <c r="G70" s="104" t="n">
        <f aca="false">G56</f>
        <v>10140.01</v>
      </c>
      <c r="H70" s="104" t="n">
        <f aca="false">H56</f>
        <v>5698.6</v>
      </c>
    </row>
    <row r="71" customFormat="false" ht="31.5" hidden="false" customHeight="true" outlineLevel="0" collapsed="false">
      <c r="B71" s="235" t="s">
        <v>355</v>
      </c>
      <c r="C71" s="235"/>
      <c r="D71" s="235"/>
      <c r="E71" s="235"/>
      <c r="F71" s="236" t="str">
        <f aca="false">IF(F67="","Não se aplica.",IF(F70&lt;=F69,"SIM, está em conformidade.", "NÃO, é inferior."))</f>
        <v>SIM, está em conformidade.</v>
      </c>
      <c r="G71" s="236" t="str">
        <f aca="false">IF(G67="","Não se aplica.",IF(G70&lt;=G69,"SIM, está em conformidade.", "NÃO, é inferior."))</f>
        <v>SIM, está em conformidade.</v>
      </c>
      <c r="H71" s="236" t="str">
        <f aca="false">IF(H67="","Não se aplica.",IF(H70&lt;=H69,"SIM, está em conformidade.", "NÃO, é inferior."))</f>
        <v>SIM, está em conformidade.</v>
      </c>
    </row>
    <row r="72" customFormat="false" ht="15.6" hidden="false" customHeight="false" outlineLevel="0" collapsed="false">
      <c r="B72" s="61" t="s">
        <v>345</v>
      </c>
      <c r="C72" s="61"/>
      <c r="D72" s="61"/>
      <c r="E72" s="61"/>
      <c r="F72" s="22" t="str">
        <f aca="false">C17</f>
        <v>PRM EM CORUMBÁ</v>
      </c>
      <c r="G72" s="22" t="n">
        <f aca="false">POSTO_12X36_NOT</f>
        <v>0</v>
      </c>
      <c r="H72" s="22" t="n">
        <f aca="false">POSTO_44H</f>
        <v>0</v>
      </c>
    </row>
    <row r="73" customFormat="false" ht="31.2" hidden="false" customHeight="false" outlineLevel="0" collapsed="false">
      <c r="B73" s="61"/>
      <c r="C73" s="61"/>
      <c r="D73" s="61"/>
      <c r="E73" s="61"/>
      <c r="F73" s="22" t="str">
        <f aca="false">E17</f>
        <v>Vigilância 12x36 horas - noturno</v>
      </c>
      <c r="G73" s="22" t="str">
        <f aca="false">E18</f>
        <v>Vigilância 12x36 horas - diurno</v>
      </c>
      <c r="H73" s="22" t="str">
        <f aca="false">E19</f>
        <v>Vigilância 44 horas semanais</v>
      </c>
    </row>
    <row r="74" customFormat="false" ht="15.6" hidden="false" customHeight="true" outlineLevel="0" collapsed="false">
      <c r="B74" s="233" t="s">
        <v>351</v>
      </c>
      <c r="C74" s="233"/>
      <c r="D74" s="233"/>
      <c r="E74" s="233"/>
      <c r="F74" s="234" t="n">
        <f aca="false">G17</f>
        <v>10709.9236377696</v>
      </c>
      <c r="G74" s="234" t="n">
        <f aca="false">G18</f>
        <v>9189.24607792667</v>
      </c>
      <c r="H74" s="234" t="n">
        <f aca="false">G19</f>
        <v>4998.95955512104</v>
      </c>
    </row>
    <row r="75" customFormat="false" ht="16.4" hidden="false" customHeight="true" outlineLevel="0" collapsed="false">
      <c r="B75" s="23" t="s">
        <v>352</v>
      </c>
      <c r="C75" s="23"/>
      <c r="D75" s="23"/>
      <c r="E75" s="23"/>
      <c r="F75" s="139" t="n">
        <f aca="false">F54</f>
        <v>11068.79</v>
      </c>
      <c r="G75" s="139" t="n">
        <f aca="false">G54</f>
        <v>9332.23</v>
      </c>
      <c r="H75" s="139" t="n">
        <f aca="false">H54</f>
        <v>5192.12</v>
      </c>
    </row>
    <row r="76" customFormat="false" ht="31.2" hidden="false" customHeight="true" outlineLevel="0" collapsed="false">
      <c r="B76" s="235" t="s">
        <v>353</v>
      </c>
      <c r="C76" s="235"/>
      <c r="D76" s="235"/>
      <c r="E76" s="235"/>
      <c r="F76" s="236" t="str">
        <f aca="false">IF(F74="","Não se aplica.",IF(F75&lt;=F74,"SIM, está em conformidade.", "NÃO, é inferior."))</f>
        <v>NÃO, é inferior.</v>
      </c>
      <c r="G76" s="236" t="str">
        <f aca="false">IF(G74="","Não se aplica.",IF(G75&lt;=G74,"SIM, está em conformidade.", "NÃO, é inferior."))</f>
        <v>NÃO, é inferior.</v>
      </c>
      <c r="H76" s="236" t="str">
        <f aca="false">IF(H74="","Não se aplica.",IF(H75&lt;=H74,"SIM, está em conformidade.", "NÃO, é inferior."))</f>
        <v>NÃO, é inferior.</v>
      </c>
    </row>
    <row r="77" customFormat="false" ht="16.4" hidden="false" customHeight="true" outlineLevel="0" collapsed="false">
      <c r="B77" s="237" t="s">
        <v>354</v>
      </c>
      <c r="C77" s="237"/>
      <c r="D77" s="237"/>
      <c r="E77" s="237"/>
      <c r="F77" s="104" t="n">
        <f aca="false">F56</f>
        <v>12028.09</v>
      </c>
      <c r="G77" s="104" t="n">
        <f aca="false">G56</f>
        <v>10140.01</v>
      </c>
      <c r="H77" s="104" t="n">
        <f aca="false">H56</f>
        <v>5698.6</v>
      </c>
    </row>
    <row r="78" customFormat="false" ht="31.2" hidden="false" customHeight="true" outlineLevel="0" collapsed="false">
      <c r="B78" s="235" t="s">
        <v>355</v>
      </c>
      <c r="C78" s="235"/>
      <c r="D78" s="235"/>
      <c r="E78" s="235"/>
      <c r="F78" s="236" t="str">
        <f aca="false">IF(F74="","Não se aplica.",IF(F77&lt;=F76,"SIM, está em conformidade.", "NÃO, é inferior."))</f>
        <v>SIM, está em conformidade.</v>
      </c>
      <c r="G78" s="236" t="str">
        <f aca="false">IF(G74="","Não se aplica.",IF(G77&lt;=G76,"SIM, está em conformidade.", "NÃO, é inferior."))</f>
        <v>SIM, está em conformidade.</v>
      </c>
      <c r="H78" s="236" t="str">
        <f aca="false">IF(H74="","Não se aplica.",IF(H77&lt;=H76,"SIM, está em conformidade.", "NÃO, é inferior."))</f>
        <v>SIM, está em conformidade.</v>
      </c>
    </row>
    <row r="79" customFormat="false" ht="16.4" hidden="false" customHeight="false" outlineLevel="0" collapsed="false">
      <c r="B79" s="61" t="s">
        <v>345</v>
      </c>
      <c r="C79" s="61"/>
      <c r="D79" s="61"/>
      <c r="E79" s="61"/>
      <c r="F79" s="22" t="str">
        <f aca="false">C21</f>
        <v>PRM EM NAVIRAÍ</v>
      </c>
      <c r="G79" s="22" t="n">
        <f aca="false">POSTO_12X36_NOT</f>
        <v>0</v>
      </c>
      <c r="H79" s="22" t="n">
        <f aca="false">POSTO_44H</f>
        <v>0</v>
      </c>
    </row>
    <row r="80" customFormat="false" ht="31.3" hidden="false" customHeight="false" outlineLevel="0" collapsed="false">
      <c r="B80" s="61"/>
      <c r="C80" s="61"/>
      <c r="D80" s="61"/>
      <c r="E80" s="61"/>
      <c r="F80" s="226" t="str">
        <f aca="false">E21</f>
        <v>Vigilância 12x36 horas - noturno</v>
      </c>
      <c r="G80" s="22" t="str">
        <f aca="false">E22</f>
        <v>Vigilância 12x36 horas - diurno</v>
      </c>
      <c r="H80" s="22" t="str">
        <f aca="false">E23</f>
        <v>Vigilância 44 horas semanais</v>
      </c>
    </row>
    <row r="81" customFormat="false" ht="16.4" hidden="false" customHeight="true" outlineLevel="0" collapsed="false">
      <c r="B81" s="233" t="s">
        <v>351</v>
      </c>
      <c r="C81" s="233"/>
      <c r="D81" s="233"/>
      <c r="E81" s="233"/>
      <c r="F81" s="234" t="n">
        <f aca="false">G21</f>
        <v>10516.7396899211</v>
      </c>
      <c r="G81" s="234" t="n">
        <f aca="false">G22</f>
        <v>8996.06213007814</v>
      </c>
      <c r="H81" s="234" t="n">
        <f aca="false">G23</f>
        <v>4886.27401801527</v>
      </c>
    </row>
    <row r="82" customFormat="false" ht="16.4" hidden="false" customHeight="true" outlineLevel="0" collapsed="false">
      <c r="B82" s="23" t="s">
        <v>352</v>
      </c>
      <c r="C82" s="23"/>
      <c r="D82" s="23"/>
      <c r="E82" s="23"/>
      <c r="F82" s="139" t="n">
        <f aca="false">F54</f>
        <v>11068.79</v>
      </c>
      <c r="G82" s="139" t="n">
        <f aca="false">G54</f>
        <v>9332.23</v>
      </c>
      <c r="H82" s="139" t="n">
        <f aca="false">IF(SUMIF('LIMITES-SEGES'!$A:$A,'INSERÇÃO-DE-DADOS'!$F$13,'LIMITES-SEGES'!G:G)=0,"",SUMIF('LIMITES-SEGES'!$A:$A,'INSERÇÃO-DE-DADOS'!$F$13,'LIMITES-SEGES'!G:G))</f>
        <v>5192.12</v>
      </c>
    </row>
    <row r="83" customFormat="false" ht="31.2" hidden="false" customHeight="true" outlineLevel="0" collapsed="false">
      <c r="B83" s="235" t="s">
        <v>353</v>
      </c>
      <c r="C83" s="235"/>
      <c r="D83" s="235"/>
      <c r="E83" s="235"/>
      <c r="F83" s="236" t="str">
        <f aca="false">IF(F81="","Não se aplica.",IF(F82&lt;=F81,"SIM, está em conformidade.", "NÃO, é inferior."))</f>
        <v>NÃO, é inferior.</v>
      </c>
      <c r="G83" s="236" t="str">
        <f aca="false">IF(G81="","Não se aplica.",IF(G82&lt;=G81,"SIM, está em conformidade.", "NÃO, é inferior."))</f>
        <v>NÃO, é inferior.</v>
      </c>
      <c r="H83" s="236" t="str">
        <f aca="false">IF(H81="","Não se aplica.",IF(H82&lt;=H81,"SIM, está em conformidade.", "NÃO, é inferior."))</f>
        <v>NÃO, é inferior.</v>
      </c>
    </row>
    <row r="84" customFormat="false" ht="16.4" hidden="false" customHeight="true" outlineLevel="0" collapsed="false">
      <c r="B84" s="237" t="s">
        <v>354</v>
      </c>
      <c r="C84" s="237"/>
      <c r="D84" s="237"/>
      <c r="E84" s="237"/>
      <c r="F84" s="104" t="n">
        <f aca="false">F56</f>
        <v>12028.09</v>
      </c>
      <c r="G84" s="104" t="n">
        <f aca="false">G56</f>
        <v>10140.01</v>
      </c>
      <c r="H84" s="104" t="n">
        <f aca="false">H56</f>
        <v>5698.6</v>
      </c>
    </row>
    <row r="85" customFormat="false" ht="31.2" hidden="false" customHeight="true" outlineLevel="0" collapsed="false">
      <c r="B85" s="235" t="s">
        <v>355</v>
      </c>
      <c r="C85" s="235"/>
      <c r="D85" s="235"/>
      <c r="E85" s="235"/>
      <c r="F85" s="236" t="str">
        <f aca="false">IF(F81="","Não se aplica.",IF(F84&lt;=F83,"SIM, está em conformidade.", "NÃO, é inferior."))</f>
        <v>SIM, está em conformidade.</v>
      </c>
      <c r="G85" s="236" t="str">
        <f aca="false">IF(G81="","Não se aplica.",IF(G84&lt;=G83,"SIM, está em conformidade.", "NÃO, é inferior."))</f>
        <v>SIM, está em conformidade.</v>
      </c>
      <c r="H85" s="236" t="str">
        <f aca="false">IF(H81="","Não se aplica.",IF(H84&lt;=H83,"SIM, está em conformidade.", "NÃO, é inferior."))</f>
        <v>SIM, está em conformidade.</v>
      </c>
    </row>
  </sheetData>
  <mergeCells count="80">
    <mergeCell ref="B1:H1"/>
    <mergeCell ref="B2:F2"/>
    <mergeCell ref="B4:H4"/>
    <mergeCell ref="C5:D5"/>
    <mergeCell ref="B6:B9"/>
    <mergeCell ref="C6:C9"/>
    <mergeCell ref="E9:G9"/>
    <mergeCell ref="B10:B13"/>
    <mergeCell ref="C10:C13"/>
    <mergeCell ref="E13:G13"/>
    <mergeCell ref="B14:B16"/>
    <mergeCell ref="C14:C16"/>
    <mergeCell ref="E16:G16"/>
    <mergeCell ref="B17:B20"/>
    <mergeCell ref="C17:C20"/>
    <mergeCell ref="E20:G20"/>
    <mergeCell ref="B21:B24"/>
    <mergeCell ref="C21:C24"/>
    <mergeCell ref="E24:G24"/>
    <mergeCell ref="B25:G25"/>
    <mergeCell ref="B28:E28"/>
    <mergeCell ref="F28:H28"/>
    <mergeCell ref="B29:E29"/>
    <mergeCell ref="B30:E30"/>
    <mergeCell ref="B31:E31"/>
    <mergeCell ref="B32:E32"/>
    <mergeCell ref="F32:H32"/>
    <mergeCell ref="B33:E33"/>
    <mergeCell ref="B34:E34"/>
    <mergeCell ref="B35:E35"/>
    <mergeCell ref="B36:E36"/>
    <mergeCell ref="F36:H36"/>
    <mergeCell ref="B37:E37"/>
    <mergeCell ref="B38:E38"/>
    <mergeCell ref="B39:E39"/>
    <mergeCell ref="B40:E40"/>
    <mergeCell ref="F40:H40"/>
    <mergeCell ref="B41:E41"/>
    <mergeCell ref="B42:E42"/>
    <mergeCell ref="B43:E43"/>
    <mergeCell ref="B44:E44"/>
    <mergeCell ref="F44:H44"/>
    <mergeCell ref="B45:E45"/>
    <mergeCell ref="B46:E46"/>
    <mergeCell ref="B47:E47"/>
    <mergeCell ref="B51:E52"/>
    <mergeCell ref="F51:H51"/>
    <mergeCell ref="B53:E53"/>
    <mergeCell ref="B54:E54"/>
    <mergeCell ref="B55:E55"/>
    <mergeCell ref="B56:E56"/>
    <mergeCell ref="B57:E57"/>
    <mergeCell ref="B58:E59"/>
    <mergeCell ref="F58:H58"/>
    <mergeCell ref="B60:E60"/>
    <mergeCell ref="B61:E61"/>
    <mergeCell ref="B62:E62"/>
    <mergeCell ref="B63:E63"/>
    <mergeCell ref="B64:E64"/>
    <mergeCell ref="B65:E66"/>
    <mergeCell ref="F65:H65"/>
    <mergeCell ref="B67:E67"/>
    <mergeCell ref="B68:E68"/>
    <mergeCell ref="B69:E69"/>
    <mergeCell ref="B70:E70"/>
    <mergeCell ref="B71:E71"/>
    <mergeCell ref="B72:E73"/>
    <mergeCell ref="F72:H72"/>
    <mergeCell ref="B74:E74"/>
    <mergeCell ref="B75:E75"/>
    <mergeCell ref="B76:E76"/>
    <mergeCell ref="B77:E77"/>
    <mergeCell ref="B78:E78"/>
    <mergeCell ref="B79:E80"/>
    <mergeCell ref="F79:H79"/>
    <mergeCell ref="B81:E81"/>
    <mergeCell ref="B82:E82"/>
    <mergeCell ref="B83:E83"/>
    <mergeCell ref="B84:E84"/>
    <mergeCell ref="B85:E85"/>
  </mergeCells>
  <printOptions headings="false" gridLines="false" gridLinesSet="true" horizontalCentered="true" verticalCentered="false"/>
  <pageMargins left="0.170138888888889" right="0.170138888888889" top="0.470138888888889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16" activeCellId="0" sqref="E16"/>
    </sheetView>
  </sheetViews>
  <sheetFormatPr defaultRowHeight="16.5" outlineLevelRow="0" outlineLevelCol="0"/>
  <cols>
    <col collapsed="false" customWidth="true" hidden="false" outlineLevel="0" max="1" min="1" style="239" width="9.13"/>
    <col collapsed="false" customWidth="true" hidden="false" outlineLevel="0" max="2" min="2" style="239" width="13.57"/>
    <col collapsed="false" customWidth="true" hidden="false" outlineLevel="0" max="4" min="3" style="239" width="14.15"/>
    <col collapsed="false" customWidth="true" hidden="false" outlineLevel="0" max="8" min="5" style="239" width="13.29"/>
    <col collapsed="false" customWidth="true" hidden="false" outlineLevel="0" max="1025" min="9" style="239" width="9.13"/>
  </cols>
  <sheetData>
    <row r="1" customFormat="false" ht="16.5" hidden="false" customHeight="false" outlineLevel="0" collapsed="false">
      <c r="H1" s="240" t="s">
        <v>357</v>
      </c>
    </row>
    <row r="2" customFormat="false" ht="15" hidden="false" customHeight="true" outlineLevel="0" collapsed="false">
      <c r="A2" s="241" t="s">
        <v>358</v>
      </c>
      <c r="B2" s="22" t="s">
        <v>359</v>
      </c>
      <c r="C2" s="242" t="s">
        <v>360</v>
      </c>
      <c r="D2" s="242"/>
      <c r="E2" s="243" t="s">
        <v>361</v>
      </c>
      <c r="F2" s="243"/>
      <c r="G2" s="243" t="s">
        <v>362</v>
      </c>
      <c r="H2" s="243"/>
    </row>
    <row r="3" customFormat="false" ht="16.5" hidden="false" customHeight="false" outlineLevel="0" collapsed="false">
      <c r="A3" s="241"/>
      <c r="B3" s="22"/>
      <c r="C3" s="242"/>
      <c r="D3" s="242"/>
      <c r="E3" s="243"/>
      <c r="F3" s="243"/>
      <c r="G3" s="243"/>
      <c r="H3" s="243"/>
    </row>
    <row r="4" customFormat="false" ht="30.75" hidden="false" customHeight="true" outlineLevel="0" collapsed="false">
      <c r="A4" s="241"/>
      <c r="B4" s="22"/>
      <c r="C4" s="244" t="s">
        <v>363</v>
      </c>
      <c r="D4" s="244" t="s">
        <v>364</v>
      </c>
      <c r="E4" s="244" t="s">
        <v>363</v>
      </c>
      <c r="F4" s="244" t="s">
        <v>364</v>
      </c>
      <c r="G4" s="244" t="s">
        <v>363</v>
      </c>
      <c r="H4" s="244" t="s">
        <v>364</v>
      </c>
    </row>
    <row r="5" customFormat="false" ht="16.5" hidden="false" customHeight="false" outlineLevel="0" collapsed="false">
      <c r="A5" s="245" t="s">
        <v>365</v>
      </c>
      <c r="B5" s="246" t="n">
        <v>43805</v>
      </c>
      <c r="C5" s="247" t="n">
        <v>8597.41</v>
      </c>
      <c r="D5" s="247" t="n">
        <v>9342.48</v>
      </c>
      <c r="E5" s="247" t="n">
        <v>10191.24</v>
      </c>
      <c r="F5" s="247" t="n">
        <v>11075.61</v>
      </c>
      <c r="G5" s="247" t="n">
        <v>4829.51</v>
      </c>
      <c r="H5" s="247" t="n">
        <v>5301.05</v>
      </c>
    </row>
    <row r="6" customFormat="false" ht="16.5" hidden="false" customHeight="false" outlineLevel="0" collapsed="false">
      <c r="A6" s="245" t="s">
        <v>366</v>
      </c>
      <c r="B6" s="246" t="n">
        <v>43690</v>
      </c>
      <c r="C6" s="139" t="n">
        <v>8111.4</v>
      </c>
      <c r="D6" s="139" t="n">
        <v>8815.78</v>
      </c>
      <c r="E6" s="139" t="n">
        <v>9145.95</v>
      </c>
      <c r="F6" s="139" t="n">
        <v>9940.84</v>
      </c>
      <c r="G6" s="139" t="n">
        <v>4456.31</v>
      </c>
      <c r="H6" s="139" t="n">
        <v>4892.59</v>
      </c>
    </row>
    <row r="7" customFormat="false" ht="16.5" hidden="false" customHeight="false" outlineLevel="0" collapsed="false">
      <c r="A7" s="245" t="s">
        <v>367</v>
      </c>
      <c r="B7" s="246" t="n">
        <v>43805</v>
      </c>
      <c r="C7" s="247" t="n">
        <v>9315.82</v>
      </c>
      <c r="D7" s="247" t="n">
        <v>10127.92</v>
      </c>
      <c r="E7" s="247" t="n">
        <v>11217.83</v>
      </c>
      <c r="F7" s="247" t="n">
        <v>12197.44</v>
      </c>
      <c r="G7" s="247" t="n">
        <v>5141.26</v>
      </c>
      <c r="H7" s="247" t="n">
        <v>5646.04</v>
      </c>
    </row>
    <row r="8" customFormat="false" ht="16.5" hidden="false" customHeight="false" outlineLevel="0" collapsed="false">
      <c r="A8" s="245" t="s">
        <v>368</v>
      </c>
      <c r="B8" s="246" t="n">
        <v>43207</v>
      </c>
      <c r="C8" s="139" t="n">
        <v>10997.4</v>
      </c>
      <c r="D8" s="139" t="n">
        <v>11939.6</v>
      </c>
      <c r="E8" s="139" t="n">
        <v>13109.73</v>
      </c>
      <c r="F8" s="139" t="n">
        <v>14233.8</v>
      </c>
      <c r="G8" s="139" t="n">
        <v>6073.35</v>
      </c>
      <c r="H8" s="139" t="n">
        <v>6660.79</v>
      </c>
    </row>
    <row r="9" customFormat="false" ht="16.5" hidden="false" customHeight="false" outlineLevel="0" collapsed="false">
      <c r="A9" s="245" t="s">
        <v>369</v>
      </c>
      <c r="B9" s="246" t="n">
        <v>43461</v>
      </c>
      <c r="C9" s="247" t="n">
        <v>7937.26</v>
      </c>
      <c r="D9" s="247" t="n">
        <v>8619.73</v>
      </c>
      <c r="E9" s="247" t="n">
        <v>10244.79</v>
      </c>
      <c r="F9" s="247" t="n">
        <v>11126.33</v>
      </c>
      <c r="G9" s="247" t="n">
        <v>4311.59</v>
      </c>
      <c r="H9" s="247" t="n">
        <v>4730.09</v>
      </c>
    </row>
    <row r="10" customFormat="false" ht="16.5" hidden="false" customHeight="false" outlineLevel="0" collapsed="false">
      <c r="A10" s="245" t="s">
        <v>370</v>
      </c>
      <c r="B10" s="246" t="n">
        <v>43643</v>
      </c>
      <c r="C10" s="139" t="n">
        <v>9375.21</v>
      </c>
      <c r="D10" s="139" t="n">
        <v>10191.74</v>
      </c>
      <c r="E10" s="139" t="n">
        <v>11317.42</v>
      </c>
      <c r="F10" s="139" t="n">
        <v>12304.64</v>
      </c>
      <c r="G10" s="139" t="n">
        <v>5213.41</v>
      </c>
      <c r="H10" s="139" t="n">
        <v>5724.81</v>
      </c>
    </row>
    <row r="11" customFormat="false" ht="16.5" hidden="false" customHeight="false" outlineLevel="0" collapsed="false">
      <c r="A11" s="245" t="s">
        <v>371</v>
      </c>
      <c r="B11" s="246" t="n">
        <v>42595</v>
      </c>
      <c r="C11" s="247" t="n">
        <v>15100.54</v>
      </c>
      <c r="D11" s="247" t="n">
        <v>16201.63</v>
      </c>
      <c r="E11" s="247" t="n">
        <v>16451.59</v>
      </c>
      <c r="F11" s="247" t="n">
        <v>18025.95</v>
      </c>
      <c r="G11" s="247" t="n">
        <v>7914.2</v>
      </c>
      <c r="H11" s="247" t="n">
        <v>8522.87</v>
      </c>
    </row>
    <row r="12" customFormat="false" ht="16.5" hidden="false" customHeight="false" outlineLevel="0" collapsed="false">
      <c r="A12" s="245" t="s">
        <v>372</v>
      </c>
      <c r="B12" s="246" t="n">
        <v>43207</v>
      </c>
      <c r="C12" s="139" t="n">
        <v>10354.98</v>
      </c>
      <c r="D12" s="139" t="n">
        <v>11246.17</v>
      </c>
      <c r="E12" s="139" t="n">
        <v>12367.31</v>
      </c>
      <c r="F12" s="139" t="n">
        <v>13433.22</v>
      </c>
      <c r="G12" s="139" t="n">
        <v>5677.47</v>
      </c>
      <c r="H12" s="139" t="n">
        <v>6228.76</v>
      </c>
    </row>
    <row r="13" customFormat="false" ht="16.5" hidden="false" customHeight="false" outlineLevel="0" collapsed="false">
      <c r="A13" s="245" t="s">
        <v>373</v>
      </c>
      <c r="B13" s="246" t="n">
        <v>43643</v>
      </c>
      <c r="C13" s="247" t="n">
        <v>9839.65</v>
      </c>
      <c r="D13" s="247" t="n">
        <v>10701.94</v>
      </c>
      <c r="E13" s="247" t="n">
        <v>10856.17</v>
      </c>
      <c r="F13" s="247" t="n">
        <v>11808.22</v>
      </c>
      <c r="G13" s="247" t="n">
        <v>5443.98</v>
      </c>
      <c r="H13" s="247" t="n">
        <v>5980.98</v>
      </c>
    </row>
    <row r="14" customFormat="false" ht="16.5" hidden="false" customHeight="false" outlineLevel="0" collapsed="false">
      <c r="A14" s="245" t="s">
        <v>374</v>
      </c>
      <c r="B14" s="246" t="n">
        <v>43805</v>
      </c>
      <c r="C14" s="139" t="n">
        <v>8291.56</v>
      </c>
      <c r="D14" s="139" t="n">
        <v>9008.01</v>
      </c>
      <c r="E14" s="139" t="n">
        <v>9889.77</v>
      </c>
      <c r="F14" s="139" t="n">
        <v>10745.13</v>
      </c>
      <c r="G14" s="139" t="n">
        <v>4586.65</v>
      </c>
      <c r="H14" s="139" t="n">
        <v>5033.64</v>
      </c>
    </row>
    <row r="15" customFormat="false" ht="16.5" hidden="false" customHeight="false" outlineLevel="0" collapsed="false">
      <c r="A15" s="245" t="s">
        <v>375</v>
      </c>
      <c r="B15" s="246" t="n">
        <v>43690</v>
      </c>
      <c r="C15" s="247" t="n">
        <v>12397.9</v>
      </c>
      <c r="D15" s="247" t="n">
        <v>13479.96</v>
      </c>
      <c r="E15" s="247" t="n">
        <v>14886.74</v>
      </c>
      <c r="F15" s="247" t="n">
        <v>16188.01</v>
      </c>
      <c r="G15" s="247" t="n">
        <v>6780.84</v>
      </c>
      <c r="H15" s="247" t="n">
        <v>7447.73</v>
      </c>
      <c r="K15" s="248"/>
    </row>
    <row r="16" customFormat="false" ht="16.5" hidden="false" customHeight="false" outlineLevel="0" collapsed="false">
      <c r="A16" s="245" t="s">
        <v>22</v>
      </c>
      <c r="B16" s="246" t="n">
        <v>43349</v>
      </c>
      <c r="C16" s="139" t="n">
        <v>9332.23</v>
      </c>
      <c r="D16" s="139" t="n">
        <v>10140.01</v>
      </c>
      <c r="E16" s="139" t="n">
        <v>11068.79</v>
      </c>
      <c r="F16" s="139" t="n">
        <v>12028.09</v>
      </c>
      <c r="G16" s="139" t="n">
        <v>5192.12</v>
      </c>
      <c r="H16" s="139" t="n">
        <v>5698.6</v>
      </c>
      <c r="K16" s="249"/>
    </row>
    <row r="17" customFormat="false" ht="16.5" hidden="false" customHeight="false" outlineLevel="0" collapsed="false">
      <c r="A17" s="245" t="s">
        <v>376</v>
      </c>
      <c r="B17" s="246" t="n">
        <v>43643</v>
      </c>
      <c r="C17" s="247" t="n">
        <v>8915.8</v>
      </c>
      <c r="D17" s="247" t="n">
        <v>9697.58</v>
      </c>
      <c r="E17" s="247" t="n">
        <v>10517.71</v>
      </c>
      <c r="F17" s="247" t="n">
        <v>11441.67</v>
      </c>
      <c r="G17" s="247" t="n">
        <v>4954.66</v>
      </c>
      <c r="H17" s="247" t="n">
        <v>5443.52</v>
      </c>
      <c r="K17" s="248"/>
    </row>
    <row r="18" customFormat="false" ht="16.5" hidden="false" customHeight="false" outlineLevel="0" collapsed="false">
      <c r="A18" s="245" t="s">
        <v>377</v>
      </c>
      <c r="B18" s="246" t="n">
        <v>43761</v>
      </c>
      <c r="C18" s="139" t="n">
        <v>9587.27</v>
      </c>
      <c r="D18" s="139" t="n">
        <v>10426.1</v>
      </c>
      <c r="E18" s="139" t="n">
        <v>11450.32</v>
      </c>
      <c r="F18" s="139" t="n">
        <v>12453.27</v>
      </c>
      <c r="G18" s="139" t="n">
        <v>5218.61</v>
      </c>
      <c r="H18" s="139" t="n">
        <v>5732.86</v>
      </c>
      <c r="K18" s="249"/>
    </row>
    <row r="19" customFormat="false" ht="16.5" hidden="false" customHeight="false" outlineLevel="0" collapsed="false">
      <c r="A19" s="245" t="s">
        <v>378</v>
      </c>
      <c r="B19" s="246" t="n">
        <v>43690</v>
      </c>
      <c r="C19" s="247" t="n">
        <v>7417.46</v>
      </c>
      <c r="D19" s="247" t="n">
        <v>8070.34</v>
      </c>
      <c r="E19" s="247" t="n">
        <v>8845.77</v>
      </c>
      <c r="F19" s="247" t="n">
        <v>9625.39</v>
      </c>
      <c r="G19" s="247" t="n">
        <v>4105.37</v>
      </c>
      <c r="H19" s="247" t="n">
        <v>4511.84</v>
      </c>
      <c r="K19" s="248"/>
    </row>
    <row r="20" customFormat="false" ht="16.5" hidden="false" customHeight="false" outlineLevel="0" collapsed="false">
      <c r="A20" s="245" t="s">
        <v>379</v>
      </c>
      <c r="B20" s="246" t="n">
        <v>43805</v>
      </c>
      <c r="C20" s="139" t="n">
        <v>8783.67</v>
      </c>
      <c r="D20" s="139" t="n">
        <v>9552</v>
      </c>
      <c r="E20" s="139" t="n">
        <v>10376.83</v>
      </c>
      <c r="F20" s="139" t="n">
        <v>11286.12</v>
      </c>
      <c r="G20" s="139" t="n">
        <v>4943.93</v>
      </c>
      <c r="H20" s="139" t="n">
        <v>5430.41</v>
      </c>
      <c r="K20" s="249"/>
    </row>
    <row r="21" customFormat="false" ht="16.5" hidden="false" customHeight="false" outlineLevel="0" collapsed="false">
      <c r="A21" s="245" t="s">
        <v>380</v>
      </c>
      <c r="B21" s="246" t="n">
        <v>42989</v>
      </c>
      <c r="C21" s="247" t="n">
        <v>8677.78</v>
      </c>
      <c r="D21" s="247" t="n">
        <v>9501.37</v>
      </c>
      <c r="E21" s="247" t="n">
        <v>12066.94</v>
      </c>
      <c r="F21" s="247" t="n">
        <v>14172.44</v>
      </c>
      <c r="G21" s="247" t="n">
        <v>4448.13</v>
      </c>
      <c r="H21" s="247" t="n">
        <v>4889.71</v>
      </c>
    </row>
    <row r="22" customFormat="false" ht="16.5" hidden="false" customHeight="false" outlineLevel="0" collapsed="false">
      <c r="A22" s="245" t="s">
        <v>381</v>
      </c>
      <c r="B22" s="246" t="n">
        <v>43643</v>
      </c>
      <c r="C22" s="139" t="n">
        <v>12261.66</v>
      </c>
      <c r="D22" s="139" t="n">
        <v>13340.87</v>
      </c>
      <c r="E22" s="139" t="n">
        <v>14577.88</v>
      </c>
      <c r="F22" s="139" t="n">
        <v>15862.82</v>
      </c>
      <c r="G22" s="139" t="n">
        <v>6768.04</v>
      </c>
      <c r="H22" s="139" t="n">
        <v>7438.22</v>
      </c>
    </row>
    <row r="23" customFormat="false" ht="16.5" hidden="false" customHeight="false" outlineLevel="0" collapsed="false">
      <c r="A23" s="245" t="s">
        <v>382</v>
      </c>
      <c r="B23" s="246" t="n">
        <v>43287</v>
      </c>
      <c r="C23" s="247" t="n">
        <v>9779.46</v>
      </c>
      <c r="D23" s="247" t="n">
        <v>10630.1</v>
      </c>
      <c r="E23" s="247" t="n">
        <v>11676</v>
      </c>
      <c r="F23" s="247" t="n">
        <v>12692.64</v>
      </c>
      <c r="G23" s="247" t="n">
        <v>5371.45</v>
      </c>
      <c r="H23" s="247" t="n">
        <v>5897.91</v>
      </c>
    </row>
    <row r="24" customFormat="false" ht="16.5" hidden="false" customHeight="false" outlineLevel="0" collapsed="false">
      <c r="A24" s="245" t="s">
        <v>383</v>
      </c>
      <c r="B24" s="246" t="n">
        <v>43643</v>
      </c>
      <c r="C24" s="139" t="n">
        <v>9400.85</v>
      </c>
      <c r="D24" s="139" t="n">
        <v>10228.96</v>
      </c>
      <c r="E24" s="139" t="n">
        <v>11261.97</v>
      </c>
      <c r="F24" s="139" t="n">
        <v>12255.04</v>
      </c>
      <c r="G24" s="139" t="n">
        <v>5144.09</v>
      </c>
      <c r="H24" s="139" t="n">
        <v>5654.09</v>
      </c>
    </row>
    <row r="25" customFormat="false" ht="16.5" hidden="false" customHeight="false" outlineLevel="0" collapsed="false">
      <c r="A25" s="245" t="s">
        <v>384</v>
      </c>
      <c r="B25" s="246" t="n">
        <v>43287</v>
      </c>
      <c r="C25" s="247" t="n">
        <v>9176.75</v>
      </c>
      <c r="D25" s="247" t="n">
        <v>9972.15</v>
      </c>
      <c r="E25" s="247" t="n">
        <v>10170.83</v>
      </c>
      <c r="F25" s="247" t="n">
        <v>11053.19</v>
      </c>
      <c r="G25" s="247" t="n">
        <v>5148.58</v>
      </c>
      <c r="H25" s="247" t="n">
        <v>5651.21</v>
      </c>
    </row>
    <row r="26" customFormat="false" ht="16.5" hidden="false" customHeight="false" outlineLevel="0" collapsed="false">
      <c r="A26" s="245" t="s">
        <v>385</v>
      </c>
      <c r="B26" s="246" t="n">
        <v>43280</v>
      </c>
      <c r="C26" s="139" t="n">
        <v>7408.92</v>
      </c>
      <c r="D26" s="139" t="n">
        <v>8049.8</v>
      </c>
      <c r="E26" s="139" t="n">
        <v>8792.52</v>
      </c>
      <c r="F26" s="139" t="n">
        <v>9554.01</v>
      </c>
      <c r="G26" s="139" t="n">
        <v>4100.86</v>
      </c>
      <c r="H26" s="139" t="n">
        <v>4500.66</v>
      </c>
    </row>
    <row r="27" customFormat="false" ht="16.5" hidden="false" customHeight="false" outlineLevel="0" collapsed="false">
      <c r="A27" s="245" t="s">
        <v>386</v>
      </c>
      <c r="B27" s="246" t="n">
        <v>43805</v>
      </c>
      <c r="C27" s="247" t="n">
        <v>10253.43</v>
      </c>
      <c r="D27" s="247" t="n">
        <v>11160.84</v>
      </c>
      <c r="E27" s="247" t="n">
        <v>12264.88</v>
      </c>
      <c r="F27" s="247" t="n">
        <v>13351.59</v>
      </c>
      <c r="G27" s="247" t="n">
        <v>5631.93</v>
      </c>
      <c r="H27" s="247" t="n">
        <v>6192.41</v>
      </c>
    </row>
    <row r="28" customFormat="false" ht="16.5" hidden="false" customHeight="false" outlineLevel="0" collapsed="false">
      <c r="A28" s="245" t="s">
        <v>387</v>
      </c>
      <c r="B28" s="246" t="n">
        <v>43805</v>
      </c>
      <c r="C28" s="139" t="n">
        <v>9937.31</v>
      </c>
      <c r="D28" s="139" t="n">
        <v>10815.6</v>
      </c>
      <c r="E28" s="139" t="n">
        <v>11855.37</v>
      </c>
      <c r="F28" s="139" t="n">
        <v>12904.6</v>
      </c>
      <c r="G28" s="139" t="n">
        <v>5485.7</v>
      </c>
      <c r="H28" s="139" t="n">
        <v>6030.85</v>
      </c>
    </row>
    <row r="29" customFormat="false" ht="16.5" hidden="false" customHeight="false" outlineLevel="0" collapsed="false">
      <c r="A29" s="245" t="s">
        <v>388</v>
      </c>
      <c r="B29" s="246" t="n">
        <v>43339</v>
      </c>
      <c r="C29" s="247" t="n">
        <v>7795.56</v>
      </c>
      <c r="D29" s="247" t="n">
        <v>8470.73</v>
      </c>
      <c r="E29" s="247" t="n">
        <v>9355.62</v>
      </c>
      <c r="F29" s="247" t="n">
        <v>10166.45</v>
      </c>
      <c r="G29" s="247" t="n">
        <v>4248.05</v>
      </c>
      <c r="H29" s="247" t="n">
        <v>4663.01</v>
      </c>
    </row>
    <row r="30" customFormat="false" ht="16.5" hidden="false" customHeight="false" outlineLevel="0" collapsed="false">
      <c r="A30" s="245" t="s">
        <v>389</v>
      </c>
      <c r="B30" s="246" t="n">
        <v>43593</v>
      </c>
      <c r="C30" s="139" t="n">
        <v>10689.88</v>
      </c>
      <c r="D30" s="139" t="n">
        <v>11635.82</v>
      </c>
      <c r="E30" s="139" t="n">
        <v>12766.9</v>
      </c>
      <c r="F30" s="139" t="n">
        <v>13898.1</v>
      </c>
      <c r="G30" s="139" t="n">
        <v>5893.81</v>
      </c>
      <c r="H30" s="139" t="n">
        <v>6480.16</v>
      </c>
    </row>
    <row r="31" customFormat="false" ht="16.5" hidden="false" customHeight="false" outlineLevel="0" collapsed="false">
      <c r="A31" s="245" t="s">
        <v>390</v>
      </c>
      <c r="B31" s="246" t="n">
        <v>43565</v>
      </c>
      <c r="C31" s="247" t="n">
        <v>10541.15</v>
      </c>
      <c r="D31" s="247" t="n">
        <v>11454.8</v>
      </c>
      <c r="E31" s="247" t="n">
        <v>12488.13</v>
      </c>
      <c r="F31" s="247" t="n">
        <v>13571.97</v>
      </c>
      <c r="G31" s="247" t="n">
        <v>5749.12</v>
      </c>
      <c r="H31" s="247" t="n">
        <v>6311.12</v>
      </c>
    </row>
    <row r="32" customFormat="false" ht="16.5" hidden="false" customHeight="false" outlineLevel="0" collapsed="false">
      <c r="A32" s="245" t="s">
        <v>391</v>
      </c>
      <c r="B32" s="245"/>
      <c r="C32" s="250" t="n">
        <f aca="false">AVERAGE(C5:C31)</f>
        <v>9639.93740740741</v>
      </c>
      <c r="D32" s="250" t="n">
        <f aca="false">AVERAGE(D5:D31)</f>
        <v>10474.89</v>
      </c>
      <c r="E32" s="250" t="n">
        <f aca="false">AVERAGE(E5:E31)</f>
        <v>11452.4074074074</v>
      </c>
      <c r="F32" s="250" t="n">
        <f aca="false">AVERAGE(F5:F31)</f>
        <v>12496.1696296296</v>
      </c>
      <c r="G32" s="250" t="n">
        <f aca="false">AVERAGE(G5:G31)</f>
        <v>5290.11185185185</v>
      </c>
      <c r="H32" s="250" t="n">
        <f aca="false">AVERAGE(H5:H31)</f>
        <v>5803.55296296296</v>
      </c>
    </row>
    <row r="33" customFormat="false" ht="16.5" hidden="false" customHeight="true" outlineLevel="0" collapsed="false">
      <c r="A33" s="251" t="s">
        <v>392</v>
      </c>
      <c r="B33" s="251"/>
      <c r="C33" s="250" t="n">
        <f aca="false">SMALL(C5:C31,27)</f>
        <v>15100.54</v>
      </c>
      <c r="D33" s="250" t="n">
        <f aca="false">SMALL(D5:D31,27)</f>
        <v>16201.63</v>
      </c>
      <c r="E33" s="250" t="n">
        <f aca="false">SMALL(E5:E31,27)</f>
        <v>16451.59</v>
      </c>
      <c r="F33" s="250" t="n">
        <f aca="false">SMALL(F5:F31,27)</f>
        <v>18025.95</v>
      </c>
      <c r="G33" s="250" t="n">
        <f aca="false">SMALL(G5:G31,27)</f>
        <v>7914.2</v>
      </c>
      <c r="H33" s="250" t="n">
        <f aca="false">SMALL(H5:H31,27)</f>
        <v>8522.87</v>
      </c>
    </row>
    <row r="34" customFormat="false" ht="16.5" hidden="false" customHeight="true" outlineLevel="0" collapsed="false">
      <c r="A34" s="251" t="s">
        <v>393</v>
      </c>
      <c r="B34" s="251"/>
      <c r="C34" s="250" t="n">
        <f aca="false">LARGE(C6:C32,27)</f>
        <v>7408.92</v>
      </c>
      <c r="D34" s="250" t="n">
        <f aca="false">LARGE(D6:D32,27)</f>
        <v>8049.8</v>
      </c>
      <c r="E34" s="250" t="n">
        <f aca="false">LARGE(E6:E32,27)</f>
        <v>8792.52</v>
      </c>
      <c r="F34" s="250" t="n">
        <f aca="false">LARGE(F6:F32,27)</f>
        <v>9554.01</v>
      </c>
      <c r="G34" s="250" t="n">
        <f aca="false">LARGE(G6:G32,27)</f>
        <v>4100.86</v>
      </c>
      <c r="H34" s="250" t="n">
        <f aca="false">LARGE(H6:H32,27)</f>
        <v>4500.66</v>
      </c>
    </row>
    <row r="35" customFormat="false" ht="16.5" hidden="false" customHeight="false" outlineLevel="0" collapsed="false">
      <c r="H35" s="240" t="s">
        <v>394</v>
      </c>
    </row>
  </sheetData>
  <mergeCells count="8">
    <mergeCell ref="A2:A4"/>
    <mergeCell ref="B2:B4"/>
    <mergeCell ref="C2:D3"/>
    <mergeCell ref="E2:F3"/>
    <mergeCell ref="G2:H3"/>
    <mergeCell ref="A32:B32"/>
    <mergeCell ref="A33:B33"/>
    <mergeCell ref="A34:B34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H38" activeCellId="0" sqref="H38"/>
    </sheetView>
  </sheetViews>
  <sheetFormatPr defaultRowHeight="16.5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8.86"/>
    <col collapsed="false" customWidth="true" hidden="false" outlineLevel="0" max="3" min="3" style="1" width="52.58"/>
    <col collapsed="false" customWidth="true" hidden="false" outlineLevel="0" max="4" min="4" style="1" width="7.87"/>
    <col collapsed="false" customWidth="true" hidden="false" outlineLevel="0" max="5" min="5" style="1" width="13.57"/>
    <col collapsed="false" customWidth="true" hidden="false" outlineLevel="0" max="6" min="6" style="1" width="15.42"/>
    <col collapsed="false" customWidth="true" hidden="false" outlineLevel="0" max="1025" min="7" style="1" width="9.13"/>
  </cols>
  <sheetData>
    <row r="1" s="7" customFormat="true" ht="25.5" hidden="false" customHeight="false" outlineLevel="0" collapsed="false">
      <c r="B1" s="98" t="s">
        <v>129</v>
      </c>
      <c r="C1" s="1"/>
      <c r="D1" s="1"/>
      <c r="E1" s="1"/>
      <c r="F1" s="1"/>
    </row>
    <row r="2" customFormat="false" ht="16.5" hidden="false" customHeight="false" outlineLevel="0" collapsed="false">
      <c r="B2" s="59" t="s">
        <v>52</v>
      </c>
      <c r="E2" s="60"/>
      <c r="F2" s="60"/>
    </row>
    <row r="3" customFormat="false" ht="33" hidden="false" customHeight="true" outlineLevel="0" collapsed="false">
      <c r="B3" s="61" t="n">
        <v>1</v>
      </c>
      <c r="C3" s="62" t="s">
        <v>53</v>
      </c>
      <c r="D3" s="62"/>
      <c r="E3" s="62"/>
      <c r="F3" s="22" t="s">
        <v>130</v>
      </c>
    </row>
    <row r="4" customFormat="false" ht="16.5" hidden="false" customHeight="true" outlineLevel="0" collapsed="false">
      <c r="B4" s="61" t="s">
        <v>15</v>
      </c>
      <c r="C4" s="26" t="s">
        <v>131</v>
      </c>
      <c r="D4" s="26"/>
      <c r="E4" s="26"/>
      <c r="F4" s="99" t="n">
        <v>220</v>
      </c>
    </row>
    <row r="5" customFormat="false" ht="16.5" hidden="false" customHeight="true" outlineLevel="0" collapsed="false">
      <c r="B5" s="61" t="s">
        <v>17</v>
      </c>
      <c r="C5" s="63" t="s">
        <v>132</v>
      </c>
      <c r="D5" s="63"/>
      <c r="E5" s="63"/>
      <c r="F5" s="100" t="n">
        <v>7</v>
      </c>
    </row>
    <row r="6" customFormat="false" ht="16.5" hidden="false" customHeight="true" outlineLevel="0" collapsed="false">
      <c r="B6" s="61" t="s">
        <v>20</v>
      </c>
      <c r="C6" s="26" t="s">
        <v>133</v>
      </c>
      <c r="D6" s="26"/>
      <c r="E6" s="26"/>
      <c r="F6" s="99" t="n">
        <v>365</v>
      </c>
    </row>
    <row r="7" customFormat="false" ht="16.5" hidden="false" customHeight="true" outlineLevel="0" collapsed="false">
      <c r="B7" s="61" t="s">
        <v>23</v>
      </c>
      <c r="C7" s="63" t="s">
        <v>134</v>
      </c>
      <c r="D7" s="63"/>
      <c r="E7" s="63"/>
      <c r="F7" s="101" t="n">
        <v>15.2</v>
      </c>
    </row>
    <row r="8" customFormat="false" ht="16.5" hidden="false" customHeight="true" outlineLevel="0" collapsed="false">
      <c r="B8" s="61" t="s">
        <v>25</v>
      </c>
      <c r="C8" s="26" t="s">
        <v>135</v>
      </c>
      <c r="D8" s="26"/>
      <c r="E8" s="26"/>
      <c r="F8" s="99" t="n">
        <v>12</v>
      </c>
    </row>
    <row r="9" customFormat="false" ht="16.5" hidden="false" customHeight="true" outlineLevel="0" collapsed="false">
      <c r="B9" s="61" t="s">
        <v>60</v>
      </c>
      <c r="C9" s="63" t="s">
        <v>136</v>
      </c>
      <c r="D9" s="63"/>
      <c r="E9" s="63"/>
      <c r="F9" s="100" t="n">
        <v>60</v>
      </c>
    </row>
    <row r="10" s="103" customFormat="true" ht="16.5" hidden="false" customHeight="true" outlineLevel="0" collapsed="false">
      <c r="A10" s="1"/>
      <c r="B10" s="61" t="s">
        <v>72</v>
      </c>
      <c r="C10" s="26" t="s">
        <v>137</v>
      </c>
      <c r="D10" s="26"/>
      <c r="E10" s="26"/>
      <c r="F10" s="102" t="n">
        <v>52.5</v>
      </c>
    </row>
    <row r="11" customFormat="false" ht="16.5" hidden="false" customHeight="true" outlineLevel="0" collapsed="false">
      <c r="B11" s="61" t="s">
        <v>74</v>
      </c>
      <c r="C11" s="63" t="s">
        <v>138</v>
      </c>
      <c r="D11" s="63"/>
      <c r="E11" s="63"/>
      <c r="F11" s="100" t="n">
        <v>18</v>
      </c>
    </row>
    <row r="12" customFormat="false" ht="16.5" hidden="false" customHeight="true" outlineLevel="0" collapsed="false">
      <c r="B12" s="61" t="s">
        <v>139</v>
      </c>
      <c r="C12" s="63" t="s">
        <v>140</v>
      </c>
      <c r="D12" s="63"/>
      <c r="E12" s="63"/>
      <c r="F12" s="104" t="n">
        <v>8.33</v>
      </c>
    </row>
    <row r="13" s="66" customFormat="true" ht="13.8" hidden="false" customHeight="false" outlineLevel="0" collapsed="false"/>
    <row r="14" s="66" customFormat="true" ht="13.8" hidden="false" customHeight="false" outlineLevel="0" collapsed="false">
      <c r="A14" s="1"/>
      <c r="B14" s="59" t="s">
        <v>77</v>
      </c>
      <c r="C14" s="6"/>
      <c r="D14" s="6"/>
      <c r="E14" s="6"/>
      <c r="F14" s="6"/>
    </row>
    <row r="15" s="66" customFormat="true" ht="15" hidden="false" customHeight="true" outlineLevel="0" collapsed="false">
      <c r="A15" s="1"/>
      <c r="B15" s="61" t="s">
        <v>78</v>
      </c>
      <c r="C15" s="62" t="s">
        <v>79</v>
      </c>
      <c r="D15" s="62"/>
      <c r="E15" s="22" t="s">
        <v>80</v>
      </c>
      <c r="F15" s="22" t="s">
        <v>141</v>
      </c>
    </row>
    <row r="16" s="66" customFormat="true" ht="16.4" hidden="false" customHeight="false" outlineLevel="0" collapsed="false">
      <c r="A16" s="1"/>
      <c r="B16" s="72" t="s">
        <v>15</v>
      </c>
      <c r="C16" s="15" t="s">
        <v>142</v>
      </c>
      <c r="D16" s="15"/>
      <c r="E16" s="49" t="s">
        <v>95</v>
      </c>
      <c r="F16" s="105" t="n">
        <v>6</v>
      </c>
    </row>
    <row r="17" s="66" customFormat="true" ht="16.4" hidden="false" customHeight="false" outlineLevel="0" collapsed="false">
      <c r="A17" s="1"/>
      <c r="B17" s="72" t="s">
        <v>17</v>
      </c>
      <c r="C17" s="12" t="s">
        <v>143</v>
      </c>
      <c r="D17" s="12"/>
      <c r="E17" s="51" t="s">
        <v>95</v>
      </c>
      <c r="F17" s="106" t="n">
        <v>1</v>
      </c>
    </row>
    <row r="18" s="66" customFormat="true" ht="16.4" hidden="false" customHeight="false" outlineLevel="0" collapsed="false">
      <c r="A18" s="1"/>
      <c r="B18" s="72" t="s">
        <v>20</v>
      </c>
      <c r="C18" s="15" t="s">
        <v>144</v>
      </c>
      <c r="D18" s="15"/>
      <c r="E18" s="49" t="s">
        <v>95</v>
      </c>
      <c r="F18" s="105" t="n">
        <v>15</v>
      </c>
    </row>
    <row r="19" s="66" customFormat="true" ht="16.4" hidden="false" customHeight="false" outlineLevel="0" collapsed="false">
      <c r="A19" s="1"/>
      <c r="B19" s="72" t="s">
        <v>23</v>
      </c>
      <c r="C19" s="12" t="s">
        <v>145</v>
      </c>
      <c r="D19" s="12"/>
      <c r="E19" s="51" t="s">
        <v>95</v>
      </c>
      <c r="F19" s="106" t="n">
        <v>22</v>
      </c>
    </row>
    <row r="20" s="66" customFormat="true" ht="13.8" hidden="false" customHeight="false" outlineLevel="0" collapsed="false">
      <c r="A20" s="1"/>
      <c r="B20" s="1"/>
      <c r="C20" s="1"/>
      <c r="D20" s="1"/>
      <c r="E20" s="1"/>
      <c r="F20" s="1"/>
    </row>
    <row r="21" s="7" customFormat="true" ht="16.5" hidden="false" customHeight="false" outlineLevel="0" collapsed="false">
      <c r="A21" s="66"/>
      <c r="B21" s="59" t="s">
        <v>146</v>
      </c>
      <c r="C21" s="76"/>
      <c r="D21" s="77"/>
      <c r="E21" s="78"/>
      <c r="F21" s="78"/>
    </row>
    <row r="22" customFormat="false" ht="16.5" hidden="false" customHeight="false" outlineLevel="0" collapsed="false">
      <c r="A22" s="66"/>
      <c r="B22" s="61" t="n">
        <v>3</v>
      </c>
      <c r="C22" s="70" t="s">
        <v>147</v>
      </c>
      <c r="D22" s="70"/>
      <c r="E22" s="70"/>
      <c r="F22" s="22" t="s">
        <v>141</v>
      </c>
    </row>
    <row r="23" customFormat="false" ht="16.5" hidden="false" customHeight="true" outlineLevel="0" collapsed="false">
      <c r="A23" s="66"/>
      <c r="B23" s="61" t="s">
        <v>15</v>
      </c>
      <c r="C23" s="69" t="s">
        <v>148</v>
      </c>
      <c r="D23" s="69"/>
      <c r="E23" s="69"/>
      <c r="F23" s="107" t="n">
        <v>62.93</v>
      </c>
    </row>
    <row r="24" customFormat="false" ht="16.5" hidden="false" customHeight="false" outlineLevel="0" collapsed="false">
      <c r="A24" s="66"/>
      <c r="B24" s="22" t="s">
        <v>17</v>
      </c>
      <c r="C24" s="108" t="s">
        <v>149</v>
      </c>
      <c r="D24" s="108"/>
      <c r="E24" s="108"/>
      <c r="F24" s="109" t="n">
        <v>5.55</v>
      </c>
    </row>
    <row r="25" s="7" customFormat="true" ht="15.95" hidden="false" customHeight="true" outlineLevel="0" collapsed="false">
      <c r="B25" s="22" t="s">
        <v>20</v>
      </c>
      <c r="C25" s="69" t="s">
        <v>150</v>
      </c>
      <c r="D25" s="69"/>
      <c r="E25" s="69"/>
      <c r="F25" s="105" t="n">
        <v>40</v>
      </c>
    </row>
    <row r="26" customFormat="false" ht="15.95" hidden="false" customHeight="true" outlineLevel="0" collapsed="false">
      <c r="A26" s="66"/>
      <c r="B26" s="22" t="s">
        <v>23</v>
      </c>
      <c r="C26" s="108" t="s">
        <v>151</v>
      </c>
      <c r="D26" s="108"/>
      <c r="E26" s="108"/>
      <c r="F26" s="106" t="n">
        <v>0</v>
      </c>
    </row>
    <row r="27" customFormat="false" ht="16.5" hidden="false" customHeight="true" outlineLevel="0" collapsed="false">
      <c r="A27" s="66"/>
      <c r="B27" s="22" t="s">
        <v>25</v>
      </c>
      <c r="C27" s="69" t="s">
        <v>152</v>
      </c>
      <c r="D27" s="69"/>
      <c r="E27" s="69"/>
      <c r="F27" s="107" t="n">
        <v>94.45</v>
      </c>
    </row>
    <row r="28" customFormat="false" ht="16.5" hidden="false" customHeight="false" outlineLevel="0" collapsed="false">
      <c r="A28" s="66"/>
      <c r="B28" s="22" t="s">
        <v>60</v>
      </c>
      <c r="C28" s="108" t="s">
        <v>153</v>
      </c>
      <c r="D28" s="108"/>
      <c r="E28" s="108"/>
      <c r="F28" s="106" t="n">
        <v>30</v>
      </c>
    </row>
    <row r="29" s="66" customFormat="true" ht="16.5" hidden="false" customHeight="false" outlineLevel="0" collapsed="false"/>
    <row r="30" s="7" customFormat="true" ht="16.5" hidden="false" customHeight="false" outlineLevel="0" collapsed="false">
      <c r="B30" s="59" t="s">
        <v>154</v>
      </c>
      <c r="C30" s="76"/>
      <c r="D30" s="77"/>
      <c r="E30" s="1"/>
      <c r="F30" s="1"/>
    </row>
    <row r="31" customFormat="false" ht="15" hidden="false" customHeight="true" outlineLevel="0" collapsed="false">
      <c r="A31" s="7"/>
      <c r="B31" s="59" t="s">
        <v>99</v>
      </c>
      <c r="C31" s="76"/>
      <c r="D31" s="77"/>
      <c r="E31" s="78"/>
      <c r="F31" s="78"/>
    </row>
    <row r="32" customFormat="false" ht="16.5" hidden="false" customHeight="true" outlineLevel="0" collapsed="false">
      <c r="A32" s="7"/>
      <c r="B32" s="61" t="s">
        <v>100</v>
      </c>
      <c r="C32" s="62" t="s">
        <v>101</v>
      </c>
      <c r="D32" s="62"/>
      <c r="E32" s="62"/>
      <c r="F32" s="22" t="s">
        <v>141</v>
      </c>
    </row>
    <row r="33" customFormat="false" ht="16.5" hidden="false" customHeight="true" outlineLevel="0" collapsed="false">
      <c r="A33" s="7"/>
      <c r="B33" s="61" t="s">
        <v>15</v>
      </c>
      <c r="C33" s="69" t="s">
        <v>155</v>
      </c>
      <c r="D33" s="69"/>
      <c r="E33" s="69"/>
      <c r="F33" s="105" t="n">
        <v>8</v>
      </c>
    </row>
    <row r="34" customFormat="false" ht="16.5" hidden="false" customHeight="true" outlineLevel="0" collapsed="false">
      <c r="A34" s="7"/>
      <c r="B34" s="22" t="s">
        <v>17</v>
      </c>
      <c r="C34" s="26" t="s">
        <v>156</v>
      </c>
      <c r="D34" s="26"/>
      <c r="E34" s="26"/>
      <c r="F34" s="106" t="n">
        <v>20</v>
      </c>
    </row>
    <row r="35" customFormat="false" ht="16.5" hidden="false" customHeight="true" outlineLevel="0" collapsed="false">
      <c r="A35" s="7"/>
      <c r="B35" s="22" t="s">
        <v>20</v>
      </c>
      <c r="C35" s="69" t="s">
        <v>157</v>
      </c>
      <c r="D35" s="69"/>
      <c r="E35" s="69"/>
      <c r="F35" s="107" t="n">
        <v>1.42</v>
      </c>
    </row>
    <row r="36" customFormat="false" ht="16.5" hidden="false" customHeight="true" outlineLevel="0" collapsed="false">
      <c r="A36" s="7"/>
      <c r="B36" s="22" t="s">
        <v>23</v>
      </c>
      <c r="C36" s="26" t="s">
        <v>158</v>
      </c>
      <c r="D36" s="26"/>
      <c r="E36" s="26"/>
      <c r="F36" s="109" t="n">
        <v>50</v>
      </c>
    </row>
    <row r="37" s="7" customFormat="true" ht="15.95" hidden="false" customHeight="true" outlineLevel="0" collapsed="false">
      <c r="A37" s="1"/>
      <c r="B37" s="22" t="s">
        <v>25</v>
      </c>
      <c r="C37" s="69" t="s">
        <v>159</v>
      </c>
      <c r="D37" s="69"/>
      <c r="E37" s="69"/>
      <c r="F37" s="107" t="n">
        <f aca="false">(154800/34808000)*100</f>
        <v>0.444725350494139</v>
      </c>
    </row>
    <row r="38" customFormat="false" ht="15.75" hidden="false" customHeight="true" outlineLevel="0" collapsed="false">
      <c r="A38" s="7"/>
      <c r="B38" s="22" t="s">
        <v>60</v>
      </c>
      <c r="C38" s="26" t="s">
        <v>160</v>
      </c>
      <c r="D38" s="26"/>
      <c r="E38" s="26"/>
      <c r="F38" s="106" t="n">
        <v>15</v>
      </c>
      <c r="Q38" s="1" t="n">
        <f aca="false">60/60</f>
        <v>1</v>
      </c>
    </row>
    <row r="39" customFormat="false" ht="15.75" hidden="false" customHeight="true" outlineLevel="0" collapsed="false">
      <c r="A39" s="7"/>
      <c r="B39" s="22" t="s">
        <v>72</v>
      </c>
      <c r="C39" s="69" t="s">
        <v>161</v>
      </c>
      <c r="D39" s="69"/>
      <c r="E39" s="69"/>
      <c r="F39" s="105" t="n">
        <v>180</v>
      </c>
    </row>
    <row r="40" customFormat="false" ht="16.5" hidden="false" customHeight="true" outlineLevel="0" collapsed="false">
      <c r="A40" s="7"/>
      <c r="B40" s="22" t="s">
        <v>74</v>
      </c>
      <c r="C40" s="26" t="s">
        <v>162</v>
      </c>
      <c r="D40" s="26"/>
      <c r="E40" s="26"/>
      <c r="F40" s="109" t="n">
        <v>50</v>
      </c>
    </row>
    <row r="41" s="66" customFormat="true" ht="8.25" hidden="false" customHeight="true" outlineLevel="0" collapsed="false"/>
    <row r="42" customFormat="false" ht="16.5" hidden="false" customHeight="false" outlineLevel="0" collapsed="false">
      <c r="B42" s="59" t="s">
        <v>163</v>
      </c>
      <c r="C42" s="76"/>
      <c r="D42" s="77"/>
      <c r="E42" s="78"/>
      <c r="F42" s="78"/>
    </row>
    <row r="43" customFormat="false" ht="16.5" hidden="false" customHeight="false" outlineLevel="0" collapsed="false">
      <c r="B43" s="61" t="s">
        <v>104</v>
      </c>
      <c r="C43" s="70" t="s">
        <v>105</v>
      </c>
      <c r="D43" s="70"/>
      <c r="E43" s="70"/>
      <c r="F43" s="22" t="s">
        <v>164</v>
      </c>
    </row>
    <row r="44" customFormat="false" ht="16.5" hidden="false" customHeight="true" outlineLevel="0" collapsed="false">
      <c r="B44" s="61" t="s">
        <v>15</v>
      </c>
      <c r="C44" s="63" t="s">
        <v>107</v>
      </c>
      <c r="D44" s="63"/>
      <c r="E44" s="63"/>
      <c r="F44" s="100" t="n">
        <f aca="false">PERC_HORA_EXTRA</f>
        <v>50</v>
      </c>
    </row>
    <row r="45" customFormat="false" ht="15" hidden="false" customHeight="true" outlineLevel="0" collapsed="false">
      <c r="B45" s="61" t="s">
        <v>17</v>
      </c>
      <c r="C45" s="26" t="s">
        <v>108</v>
      </c>
      <c r="D45" s="26"/>
      <c r="E45" s="26"/>
      <c r="F45" s="99" t="n">
        <f aca="false">TEMPO_INTERVALO_REFEICAO</f>
        <v>60</v>
      </c>
    </row>
    <row r="46" s="66" customFormat="true" ht="16.5" hidden="false" customHeight="false" outlineLevel="0" collapsed="false"/>
    <row r="47" customFormat="false" ht="20.25" hidden="false" customHeight="false" outlineLevel="0" collapsed="false">
      <c r="B47" s="93" t="s">
        <v>126</v>
      </c>
      <c r="C47" s="94"/>
      <c r="D47" s="94"/>
      <c r="E47" s="94"/>
      <c r="F47" s="95"/>
    </row>
    <row r="48" customFormat="false" ht="33.75" hidden="false" customHeight="true" outlineLevel="0" collapsed="false">
      <c r="B48" s="96" t="s">
        <v>127</v>
      </c>
      <c r="C48" s="96"/>
      <c r="D48" s="96"/>
      <c r="E48" s="96"/>
      <c r="F48" s="96"/>
    </row>
  </sheetData>
  <mergeCells count="34"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15:D15"/>
    <mergeCell ref="C16:D16"/>
    <mergeCell ref="C18:D18"/>
    <mergeCell ref="C19:D19"/>
    <mergeCell ref="C22:E22"/>
    <mergeCell ref="C23:E23"/>
    <mergeCell ref="C24:E24"/>
    <mergeCell ref="C25:E25"/>
    <mergeCell ref="C26:E26"/>
    <mergeCell ref="C27:E27"/>
    <mergeCell ref="C28:E28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3:E43"/>
    <mergeCell ref="C44:E44"/>
    <mergeCell ref="C45:E45"/>
    <mergeCell ref="B48:F48"/>
  </mergeCells>
  <dataValidations count="2">
    <dataValidation allowBlank="true" operator="between" prompt="Segundo estudos da Audin-MPU, esse item não é usual nas planilhas do MPU. Verifique se realmente há necessidade de incluí-lo." promptTitle="Intervalo Intrajornada" showDropDown="false" showErrorMessage="true" showInputMessage="true" sqref="F44" type="none">
      <formula1>0</formula1>
      <formula2>0</formula2>
    </dataValidation>
    <dataValidation allowBlank="true" operator="between" prompt="Segundo estudos da Audin-MPU, esse item não é usual nas planilhas do MPU. Verifique se realmente há necessidade de incluí-lo." promptTitle="Intervalo Intrajornada" showDropDown="false" showErrorMessage="true" showInputMessage="true" sqref="F45" type="none">
      <formula1>0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31" activeCellId="0" sqref="E31"/>
    </sheetView>
  </sheetViews>
  <sheetFormatPr defaultRowHeight="16.5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8.86"/>
    <col collapsed="false" customWidth="true" hidden="false" outlineLevel="0" max="3" min="3" style="1" width="52.58"/>
    <col collapsed="false" customWidth="true" hidden="false" outlineLevel="0" max="4" min="4" style="1" width="22.01"/>
    <col collapsed="false" customWidth="true" hidden="false" outlineLevel="0" max="5" min="5" style="1" width="7.87"/>
    <col collapsed="false" customWidth="true" hidden="false" outlineLevel="0" max="6" min="6" style="1" width="46.29"/>
    <col collapsed="false" customWidth="true" hidden="false" outlineLevel="0" max="7" min="7" style="1" width="17.9"/>
    <col collapsed="false" customWidth="true" hidden="false" outlineLevel="0" max="8" min="8" style="1" width="14.51"/>
    <col collapsed="false" customWidth="true" hidden="false" outlineLevel="0" max="9" min="9" style="1" width="35.2"/>
    <col collapsed="false" customWidth="true" hidden="false" outlineLevel="0" max="1025" min="10" style="1" width="9.13"/>
  </cols>
  <sheetData>
    <row r="1" s="7" customFormat="true" ht="25.5" hidden="false" customHeight="false" outlineLevel="0" collapsed="false">
      <c r="B1" s="98" t="s">
        <v>165</v>
      </c>
      <c r="C1" s="1"/>
      <c r="D1" s="1"/>
      <c r="E1" s="1"/>
      <c r="F1" s="1"/>
    </row>
    <row r="2" customFormat="false" ht="16.5" hidden="false" customHeight="false" outlineLevel="0" collapsed="false">
      <c r="B2" s="59" t="s">
        <v>166</v>
      </c>
      <c r="E2" s="110"/>
    </row>
    <row r="3" customFormat="false" ht="16.5" hidden="false" customHeight="false" outlineLevel="0" collapsed="false">
      <c r="B3" s="59" t="s">
        <v>167</v>
      </c>
      <c r="C3" s="76"/>
      <c r="D3" s="77"/>
      <c r="E3" s="78"/>
    </row>
    <row r="4" customFormat="false" ht="16.5" hidden="false" customHeight="false" outlineLevel="0" collapsed="false">
      <c r="B4" s="61" t="s">
        <v>168</v>
      </c>
      <c r="C4" s="70" t="s">
        <v>169</v>
      </c>
      <c r="D4" s="70"/>
      <c r="E4" s="22" t="s">
        <v>65</v>
      </c>
      <c r="F4" s="22" t="s">
        <v>170</v>
      </c>
    </row>
    <row r="5" customFormat="false" ht="16.5" hidden="false" customHeight="true" outlineLevel="0" collapsed="false">
      <c r="B5" s="61" t="s">
        <v>15</v>
      </c>
      <c r="C5" s="69" t="s">
        <v>171</v>
      </c>
      <c r="D5" s="69"/>
      <c r="E5" s="111" t="n">
        <f aca="false">(1/MESES_NO_ANO)*100</f>
        <v>8.33333333333333</v>
      </c>
      <c r="F5" s="111" t="s">
        <v>172</v>
      </c>
    </row>
    <row r="6" s="103" customFormat="true" ht="16.5" hidden="false" customHeight="true" outlineLevel="0" collapsed="false">
      <c r="B6" s="22" t="s">
        <v>17</v>
      </c>
      <c r="C6" s="26" t="s">
        <v>173</v>
      </c>
      <c r="D6" s="26"/>
      <c r="E6" s="112" t="n">
        <f aca="false">(1/3)/MESES_NO_ANO*100</f>
        <v>2.77777777777778</v>
      </c>
      <c r="F6" s="112" t="s">
        <v>174</v>
      </c>
    </row>
    <row r="7" s="66" customFormat="true" ht="15.75" hidden="false" customHeight="true" outlineLevel="0" collapsed="false">
      <c r="B7" s="67" t="s">
        <v>62</v>
      </c>
      <c r="C7" s="67"/>
      <c r="D7" s="67"/>
      <c r="E7" s="67"/>
      <c r="F7" s="67"/>
    </row>
    <row r="8" customFormat="false" ht="31.5" hidden="false" customHeight="true" outlineLevel="0" collapsed="false">
      <c r="A8" s="66"/>
      <c r="B8" s="61" t="s">
        <v>63</v>
      </c>
      <c r="C8" s="68" t="s">
        <v>64</v>
      </c>
      <c r="D8" s="68"/>
      <c r="E8" s="22" t="s">
        <v>65</v>
      </c>
    </row>
    <row r="9" customFormat="false" ht="16.5" hidden="false" customHeight="true" outlineLevel="0" collapsed="false">
      <c r="B9" s="61" t="s">
        <v>15</v>
      </c>
      <c r="C9" s="69" t="s">
        <v>66</v>
      </c>
      <c r="D9" s="69"/>
      <c r="E9" s="111" t="n">
        <f aca="false">'INSERÇÃO-DE-DADOS'!E53</f>
        <v>20</v>
      </c>
    </row>
    <row r="10" s="7" customFormat="true" ht="16.5" hidden="false" customHeight="true" outlineLevel="0" collapsed="false">
      <c r="B10" s="22" t="s">
        <v>17</v>
      </c>
      <c r="C10" s="26" t="s">
        <v>67</v>
      </c>
      <c r="D10" s="26"/>
      <c r="E10" s="113" t="n">
        <f aca="false">'INSERÇÃO-DE-DADOS'!E54</f>
        <v>2.5</v>
      </c>
    </row>
    <row r="11" customFormat="false" ht="16.5" hidden="false" customHeight="true" outlineLevel="0" collapsed="false">
      <c r="A11" s="7"/>
      <c r="B11" s="22" t="s">
        <v>20</v>
      </c>
      <c r="C11" s="69" t="s">
        <v>175</v>
      </c>
      <c r="D11" s="69"/>
      <c r="E11" s="111" t="n">
        <f aca="false">'INSERÇÃO-DE-DADOS'!E55</f>
        <v>3</v>
      </c>
    </row>
    <row r="12" customFormat="false" ht="16.5" hidden="false" customHeight="true" outlineLevel="0" collapsed="false">
      <c r="A12" s="7"/>
      <c r="B12" s="22" t="s">
        <v>23</v>
      </c>
      <c r="C12" s="26" t="s">
        <v>69</v>
      </c>
      <c r="D12" s="26"/>
      <c r="E12" s="113" t="n">
        <f aca="false">'INSERÇÃO-DE-DADOS'!E56</f>
        <v>1.5</v>
      </c>
    </row>
    <row r="13" customFormat="false" ht="16.5" hidden="false" customHeight="true" outlineLevel="0" collapsed="false">
      <c r="A13" s="7"/>
      <c r="B13" s="22" t="s">
        <v>25</v>
      </c>
      <c r="C13" s="69" t="s">
        <v>70</v>
      </c>
      <c r="D13" s="69"/>
      <c r="E13" s="111" t="n">
        <f aca="false">'INSERÇÃO-DE-DADOS'!E57</f>
        <v>1</v>
      </c>
    </row>
    <row r="14" s="6" customFormat="true" ht="16.5" hidden="false" customHeight="true" outlineLevel="0" collapsed="false">
      <c r="B14" s="22" t="s">
        <v>60</v>
      </c>
      <c r="C14" s="26" t="s">
        <v>71</v>
      </c>
      <c r="D14" s="26"/>
      <c r="E14" s="113" t="n">
        <f aca="false">'INSERÇÃO-DE-DADOS'!E58</f>
        <v>0.6</v>
      </c>
    </row>
    <row r="15" customFormat="false" ht="16.5" hidden="false" customHeight="true" outlineLevel="0" collapsed="false">
      <c r="A15" s="6"/>
      <c r="B15" s="22" t="s">
        <v>72</v>
      </c>
      <c r="C15" s="69" t="s">
        <v>73</v>
      </c>
      <c r="D15" s="69"/>
      <c r="E15" s="111" t="n">
        <f aca="false">'INSERÇÃO-DE-DADOS'!E59</f>
        <v>0.2</v>
      </c>
    </row>
    <row r="16" customFormat="false" ht="16.5" hidden="false" customHeight="true" outlineLevel="0" collapsed="false">
      <c r="B16" s="22" t="s">
        <v>74</v>
      </c>
      <c r="C16" s="26" t="s">
        <v>75</v>
      </c>
      <c r="D16" s="26"/>
      <c r="E16" s="113" t="n">
        <f aca="false">'INSERÇÃO-DE-DADOS'!E60</f>
        <v>8</v>
      </c>
    </row>
    <row r="17" customFormat="false" ht="16.5" hidden="false" customHeight="false" outlineLevel="0" collapsed="false">
      <c r="B17" s="70" t="s">
        <v>76</v>
      </c>
      <c r="C17" s="70"/>
      <c r="D17" s="70"/>
      <c r="E17" s="71" t="n">
        <f aca="false">SUM(E9:E16)</f>
        <v>36.8</v>
      </c>
    </row>
    <row r="18" s="66" customFormat="true" ht="16.5" hidden="false" customHeight="false" outlineLevel="0" collapsed="false">
      <c r="B18" s="59" t="s">
        <v>146</v>
      </c>
      <c r="C18" s="76"/>
      <c r="D18" s="77"/>
      <c r="E18" s="78"/>
    </row>
    <row r="19" customFormat="false" ht="16.5" hidden="false" customHeight="false" outlineLevel="0" collapsed="false">
      <c r="A19" s="66"/>
      <c r="B19" s="61" t="n">
        <v>3</v>
      </c>
      <c r="C19" s="70" t="s">
        <v>147</v>
      </c>
      <c r="D19" s="70"/>
      <c r="E19" s="22" t="s">
        <v>65</v>
      </c>
      <c r="F19" s="22" t="s">
        <v>170</v>
      </c>
    </row>
    <row r="20" customFormat="false" ht="16.5" hidden="false" customHeight="false" outlineLevel="0" collapsed="false">
      <c r="A20" s="66"/>
      <c r="B20" s="61" t="s">
        <v>15</v>
      </c>
      <c r="C20" s="114" t="s">
        <v>176</v>
      </c>
      <c r="D20" s="114"/>
      <c r="E20" s="111" t="n">
        <f aca="false">PERC_EMPREG_DEMIT_SEM_JUSTA_CAUSA_TOTAL_DESLIG%*PERC_EMPREG_AVISO_PREVIO_IND%*1/MESES_NO_ANO*100</f>
        <v>0.29105125</v>
      </c>
      <c r="F20" s="111" t="s">
        <v>177</v>
      </c>
    </row>
    <row r="21" customFormat="false" ht="15.75" hidden="false" customHeight="false" outlineLevel="0" collapsed="false">
      <c r="A21" s="66"/>
      <c r="B21" s="22" t="s">
        <v>17</v>
      </c>
      <c r="C21" s="115" t="s">
        <v>178</v>
      </c>
      <c r="D21" s="115"/>
      <c r="E21" s="113" t="n">
        <f aca="false">PERC_FGTS%*PERC_AVISO_PREVIO_IND</f>
        <v>0.0232841</v>
      </c>
      <c r="F21" s="112" t="s">
        <v>179</v>
      </c>
      <c r="G21" s="116"/>
      <c r="H21" s="116"/>
      <c r="I21" s="116"/>
    </row>
    <row r="22" s="7" customFormat="true" ht="16.4" hidden="false" customHeight="false" outlineLevel="0" collapsed="false">
      <c r="B22" s="22" t="s">
        <v>20</v>
      </c>
      <c r="C22" s="114" t="s">
        <v>180</v>
      </c>
      <c r="D22" s="114"/>
      <c r="E22" s="111" t="n">
        <f aca="false">PERC_AVISO_PREVIO_IND%*(PERC_MULTA_FGTS%+PERC_CONTRIB_SOCIAL%)*PERC_FGTS%*100</f>
        <v>0.00931364</v>
      </c>
      <c r="F22" s="111" t="s">
        <v>181</v>
      </c>
      <c r="G22" s="116"/>
      <c r="H22" s="116"/>
      <c r="I22" s="116"/>
    </row>
    <row r="23" s="66" customFormat="true" ht="15.75" hidden="false" customHeight="false" outlineLevel="0" collapsed="false">
      <c r="B23" s="22" t="s">
        <v>23</v>
      </c>
      <c r="C23" s="115" t="s">
        <v>182</v>
      </c>
      <c r="D23" s="115"/>
      <c r="E23" s="113" t="n">
        <f aca="false">PERC_EMPREG_DEMIT_SEM_JUSTA_CAUSA_TOTAL_DESLIG%*PERC_EMPREG_AVISO_PREVIO_TRAB%*(DIAS_NA_SEMANA/DIAS_NO_MES)/MESES_NO_ANO*100</f>
        <v>1.15572693055556</v>
      </c>
      <c r="F23" s="112" t="s">
        <v>183</v>
      </c>
      <c r="G23" s="116"/>
      <c r="H23" s="116"/>
      <c r="I23" s="116"/>
    </row>
    <row r="24" s="7" customFormat="true" ht="15.75" hidden="false" customHeight="false" outlineLevel="0" collapsed="false">
      <c r="B24" s="22" t="s">
        <v>25</v>
      </c>
      <c r="C24" s="114" t="s">
        <v>184</v>
      </c>
      <c r="D24" s="114"/>
      <c r="E24" s="111" t="n">
        <f aca="false">PERC_GPS_FGTS*PERC_AVISO_PREVIO_TRAB%</f>
        <v>0.425307510444444</v>
      </c>
      <c r="F24" s="111" t="s">
        <v>185</v>
      </c>
      <c r="G24" s="116"/>
      <c r="H24" s="116"/>
      <c r="I24" s="116"/>
    </row>
    <row r="25" customFormat="false" ht="16.4" hidden="false" customHeight="false" outlineLevel="0" collapsed="false">
      <c r="A25" s="7"/>
      <c r="B25" s="22" t="s">
        <v>60</v>
      </c>
      <c r="C25" s="115" t="s">
        <v>186</v>
      </c>
      <c r="D25" s="115"/>
      <c r="E25" s="113" t="n">
        <f aca="false">ROUNDUP(PERC_AVISO_PREVIO_TRAB%*(PERC_MULTA_FGTS%+PERC_CONTRIB_SOCIAL%)*PERC_FGTS%*100,2)</f>
        <v>0.04</v>
      </c>
      <c r="F25" s="112" t="s">
        <v>187</v>
      </c>
      <c r="G25" s="116"/>
      <c r="H25" s="116"/>
      <c r="I25" s="116"/>
    </row>
    <row r="26" customFormat="false" ht="13.8" hidden="false" customHeight="false" outlineLevel="0" collapsed="false">
      <c r="A26" s="7"/>
      <c r="B26" s="59" t="s">
        <v>154</v>
      </c>
      <c r="C26" s="76"/>
      <c r="D26" s="77"/>
      <c r="G26" s="116"/>
      <c r="H26" s="116"/>
      <c r="I26" s="116"/>
    </row>
    <row r="27" customFormat="false" ht="16.5" hidden="false" customHeight="false" outlineLevel="0" collapsed="false">
      <c r="A27" s="7"/>
      <c r="B27" s="59" t="s">
        <v>99</v>
      </c>
      <c r="C27" s="76"/>
      <c r="D27" s="77"/>
      <c r="E27" s="78"/>
    </row>
    <row r="28" customFormat="false" ht="16.5" hidden="false" customHeight="true" outlineLevel="0" collapsed="false">
      <c r="A28" s="7"/>
      <c r="B28" s="61" t="s">
        <v>100</v>
      </c>
      <c r="C28" s="62" t="s">
        <v>101</v>
      </c>
      <c r="D28" s="62"/>
      <c r="E28" s="22" t="s">
        <v>65</v>
      </c>
      <c r="F28" s="22" t="s">
        <v>170</v>
      </c>
    </row>
    <row r="29" customFormat="false" ht="16.5" hidden="false" customHeight="true" outlineLevel="0" collapsed="false">
      <c r="A29" s="7"/>
      <c r="B29" s="22" t="s">
        <v>15</v>
      </c>
      <c r="C29" s="69" t="s">
        <v>188</v>
      </c>
      <c r="D29" s="69"/>
      <c r="E29" s="111" t="n">
        <f aca="false">(1/MESES_NO_ANO)*100</f>
        <v>8.33333333333333</v>
      </c>
      <c r="F29" s="111" t="s">
        <v>189</v>
      </c>
    </row>
    <row r="30" customFormat="false" ht="16.5" hidden="false" customHeight="false" outlineLevel="0" collapsed="false">
      <c r="A30" s="7"/>
      <c r="B30" s="22" t="s">
        <v>17</v>
      </c>
      <c r="C30" s="26" t="s">
        <v>190</v>
      </c>
      <c r="D30" s="26"/>
      <c r="E30" s="113" t="n">
        <f aca="false">(DIAS_AUSENCIAS_LEGAIS/DIAS_NO_MES)/MESES_NO_ANO*100</f>
        <v>2.22222222222222</v>
      </c>
      <c r="F30" s="112" t="s">
        <v>191</v>
      </c>
    </row>
    <row r="31" customFormat="false" ht="16.5" hidden="false" customHeight="true" outlineLevel="0" collapsed="false">
      <c r="A31" s="7"/>
      <c r="B31" s="22" t="s">
        <v>20</v>
      </c>
      <c r="C31" s="69" t="s">
        <v>192</v>
      </c>
      <c r="D31" s="69"/>
      <c r="E31" s="111" t="n">
        <f aca="false">(((DIAS_LICENCA_PATERNIDADE/DIAS_NO_MES)/MESES_NO_ANO)*PERC_NASCIDOS_VIVOS_POPUL_FEM%*PERC_PARTIC_MASC_VIGIL%)*100</f>
        <v>0.0394444444444444</v>
      </c>
      <c r="F31" s="111" t="s">
        <v>193</v>
      </c>
    </row>
    <row r="32" customFormat="false" ht="16.5" hidden="false" customHeight="true" outlineLevel="0" collapsed="false">
      <c r="A32" s="7"/>
      <c r="B32" s="22" t="s">
        <v>23</v>
      </c>
      <c r="C32" s="26" t="s">
        <v>194</v>
      </c>
      <c r="D32" s="26"/>
      <c r="E32" s="113" t="n">
        <f aca="false">(DIAS_PAGOS_EMPRESA_ACID_TRAB/DIAS_NO_MES)/MESES_NO_ANO*PERC_EMPREG_AFAST_TRAB%*100</f>
        <v>0.0185302229372558</v>
      </c>
      <c r="F32" s="112" t="s">
        <v>195</v>
      </c>
    </row>
    <row r="33" customFormat="false" ht="16.5" hidden="false" customHeight="true" outlineLevel="0" collapsed="false">
      <c r="A33" s="7"/>
      <c r="B33" s="22" t="s">
        <v>25</v>
      </c>
      <c r="C33" s="69" t="s">
        <v>196</v>
      </c>
      <c r="D33" s="69"/>
      <c r="E33" s="111" t="n">
        <f aca="false">(((DIAS_LICENCA_MATERNIDADE/DIAS_NO_MES)/MESES_NO_ANO)*PERC_NASCIDOS_VIVOS_POPUL_FEM%*PERC_PARTIC_FEM_VIGIL%*PERC_GPS_FGTS%*100)</f>
        <v>0.13064</v>
      </c>
      <c r="F33" s="111" t="s">
        <v>197</v>
      </c>
    </row>
    <row r="34" customFormat="false" ht="16.5" hidden="false" customHeight="false" outlineLevel="0" collapsed="false">
      <c r="A34" s="7"/>
      <c r="B34" s="22" t="s">
        <v>60</v>
      </c>
      <c r="C34" s="26" t="str">
        <f aca="false">OUTRAS_AUSENCIAS_DESCRICAO</f>
        <v>Outras Ausências (Especificar - em %)</v>
      </c>
      <c r="D34" s="26"/>
      <c r="E34" s="113" t="n">
        <f aca="false">PERC_SUBSTITUTO_OUTRAS_AUSENCIAS</f>
        <v>0</v>
      </c>
      <c r="F34" s="112"/>
    </row>
    <row r="36" customFormat="false" ht="20.25" hidden="false" customHeight="false" outlineLevel="0" collapsed="false">
      <c r="B36" s="93" t="s">
        <v>126</v>
      </c>
    </row>
    <row r="37" customFormat="false" ht="37.5" hidden="false" customHeight="true" outlineLevel="0" collapsed="false">
      <c r="B37" s="96" t="s">
        <v>127</v>
      </c>
      <c r="C37" s="96"/>
      <c r="D37" s="96"/>
      <c r="E37" s="96"/>
      <c r="F37" s="96"/>
    </row>
  </sheetData>
  <mergeCells count="28">
    <mergeCell ref="C4:D4"/>
    <mergeCell ref="C5:D5"/>
    <mergeCell ref="C6:D6"/>
    <mergeCell ref="B7:F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B17:D17"/>
    <mergeCell ref="C19:D19"/>
    <mergeCell ref="C20:D20"/>
    <mergeCell ref="C21:D21"/>
    <mergeCell ref="C22:D22"/>
    <mergeCell ref="C23:D23"/>
    <mergeCell ref="C24:D24"/>
    <mergeCell ref="C25:D25"/>
    <mergeCell ref="C28:D28"/>
    <mergeCell ref="C29:D29"/>
    <mergeCell ref="C31:D31"/>
    <mergeCell ref="C32:D32"/>
    <mergeCell ref="C33:D33"/>
    <mergeCell ref="C34:D34"/>
    <mergeCell ref="B37:F37"/>
  </mergeCells>
  <dataValidations count="2">
    <dataValidation allowBlank="true" error="O percentual do Aviso Prévio Indenizado deverá ser inferior a 0,64%, conforme determinou o Tribunal de Contas da União por meio do Acórdão nº 1.904/2007 - Plenário." errorTitle="Erro na inserção de dados." operator="between" showDropDown="false" showErrorMessage="true" showInputMessage="true" sqref="E20" type="decimal">
      <formula1>0</formula1>
      <formula2>0.46</formula2>
    </dataValidation>
    <dataValidation allowBlank="true" error="O percentual do Aviso Prévio Indenizado deverá ser inferior a 1,94%, conforme determinou o Tribunal de Contas da União por meio do Acórdão nº 1.904/2007 - Plenário." errorTitle="Erro na inserção de dados." operator="between" showDropDown="false" showErrorMessage="true" showInputMessage="true" sqref="E23" type="decimal">
      <formula1>0</formula1>
      <formula2>1.94</formula2>
    </dataValidation>
  </dataValidations>
  <printOptions headings="false" gridLines="false" gridLinesSet="true" horizontalCentered="false" verticalCentered="false"/>
  <pageMargins left="0.179861111111111" right="0.170138888888889" top="0.229861111111111" bottom="0.079861111111111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5536"/>
  <sheetViews>
    <sheetView showFormulas="false" showGridLines="true" showRowColHeaders="true" showZeros="true" rightToLeft="false" tabSelected="false" showOutlineSymbols="true" defaultGridColor="true" view="normal" topLeftCell="A25" colorId="64" zoomScale="90" zoomScaleNormal="90" zoomScalePageLayoutView="100" workbookViewId="0">
      <selection pane="topLeft" activeCell="I20" activeCellId="0" sqref="I20"/>
    </sheetView>
  </sheetViews>
  <sheetFormatPr defaultRowHeight="16.5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8.86"/>
    <col collapsed="false" customWidth="true" hidden="false" outlineLevel="0" max="3" min="3" style="1" width="52.58"/>
    <col collapsed="false" customWidth="true" hidden="false" outlineLevel="0" max="4" min="4" style="1" width="7.87"/>
    <col collapsed="false" customWidth="true" hidden="false" outlineLevel="0" max="5" min="5" style="1" width="13.57"/>
    <col collapsed="false" customWidth="true" hidden="false" outlineLevel="0" max="8" min="6" style="1" width="15.31"/>
    <col collapsed="false" customWidth="true" hidden="false" outlineLevel="0" max="9" min="9" style="1" width="32.72"/>
    <col collapsed="false" customWidth="true" hidden="false" outlineLevel="0" max="1025" min="10" style="1" width="9.13"/>
  </cols>
  <sheetData>
    <row r="1" customFormat="false" ht="17.35" hidden="false" customHeight="false" outlineLevel="0" collapsed="false">
      <c r="B1" s="117" t="str">
        <f aca="false">RAMO</f>
        <v>RAMO: MINISTÉRIO PÚBLICO FEDERAL</v>
      </c>
      <c r="C1" s="117"/>
      <c r="D1" s="117"/>
      <c r="E1" s="117"/>
      <c r="F1" s="117"/>
      <c r="G1" s="117"/>
      <c r="H1" s="117"/>
    </row>
    <row r="2" customFormat="false" ht="17.35" hidden="false" customHeight="false" outlineLevel="0" collapsed="false">
      <c r="B2" s="118" t="str">
        <f aca="false">UG</f>
        <v>UNIDADE GESTORA (SIGLA): PRMS</v>
      </c>
      <c r="C2" s="118"/>
      <c r="D2" s="118"/>
      <c r="E2" s="119" t="s">
        <v>3</v>
      </c>
      <c r="F2" s="120" t="str">
        <f aca="false">DATA_DO_ORCAMENTO_ESTIMATIVO</f>
        <v>XX/XX/20XX</v>
      </c>
      <c r="G2" s="120"/>
      <c r="H2" s="120"/>
    </row>
    <row r="3" s="7" customFormat="true" ht="19.7" hidden="false" customHeight="false" outlineLevel="0" collapsed="false">
      <c r="B3" s="8" t="s">
        <v>198</v>
      </c>
      <c r="C3" s="8"/>
      <c r="D3" s="8"/>
      <c r="E3" s="8"/>
      <c r="F3" s="8"/>
      <c r="G3" s="8"/>
      <c r="H3" s="8"/>
    </row>
    <row r="4" customFormat="false" ht="15.95" hidden="false" customHeight="true" outlineLevel="0" collapsed="false">
      <c r="A4" s="7"/>
      <c r="B4" s="9" t="s">
        <v>6</v>
      </c>
      <c r="C4" s="9"/>
      <c r="D4" s="9"/>
      <c r="E4" s="9"/>
      <c r="F4" s="9"/>
      <c r="G4" s="9"/>
      <c r="H4" s="9"/>
    </row>
    <row r="5" customFormat="false" ht="15.95" hidden="false" customHeight="true" outlineLevel="0" collapsed="false">
      <c r="A5" s="7"/>
      <c r="B5" s="15" t="s">
        <v>199</v>
      </c>
      <c r="C5" s="15"/>
      <c r="D5" s="49" t="str">
        <f aca="false">NUMERO_PROCESSO</f>
        <v>1.21.000.000635/2019-40</v>
      </c>
      <c r="E5" s="49"/>
      <c r="F5" s="49"/>
      <c r="G5" s="49"/>
      <c r="H5" s="49"/>
    </row>
    <row r="6" customFormat="false" ht="15.75" hidden="false" customHeight="true" outlineLevel="0" collapsed="false">
      <c r="A6" s="7"/>
      <c r="B6" s="12" t="s">
        <v>200</v>
      </c>
      <c r="C6" s="12"/>
      <c r="D6" s="121" t="str">
        <f aca="false">MODALIDADE_DE_LICITACAO</f>
        <v>Pregão nº</v>
      </c>
      <c r="E6" s="121"/>
      <c r="F6" s="122" t="str">
        <f aca="false">NUMERO_PREGAO</f>
        <v>XX/20XX</v>
      </c>
      <c r="G6" s="122"/>
      <c r="H6" s="122"/>
    </row>
    <row r="7" s="6" customFormat="true" ht="15.75" hidden="false" customHeight="true" outlineLevel="0" collapsed="false">
      <c r="B7" s="123" t="s">
        <v>201</v>
      </c>
      <c r="C7" s="123"/>
      <c r="D7" s="123"/>
      <c r="E7" s="123"/>
      <c r="F7" s="123"/>
      <c r="G7" s="123"/>
      <c r="H7" s="123"/>
    </row>
    <row r="8" s="7" customFormat="true" ht="18" hidden="false" customHeight="true" outlineLevel="0" collapsed="false">
      <c r="B8" s="48" t="s">
        <v>15</v>
      </c>
      <c r="C8" s="15" t="s">
        <v>16</v>
      </c>
      <c r="D8" s="15"/>
      <c r="E8" s="15"/>
      <c r="F8" s="124" t="str">
        <f aca="false">DATA_APRESENTACAO_PROPOSTA</f>
        <v>XX/XX/20XX</v>
      </c>
      <c r="G8" s="124"/>
      <c r="H8" s="124"/>
    </row>
    <row r="9" customFormat="false" ht="46.4" hidden="false" customHeight="false" outlineLevel="0" collapsed="false">
      <c r="A9" s="7"/>
      <c r="B9" s="61" t="s">
        <v>17</v>
      </c>
      <c r="C9" s="23" t="s">
        <v>202</v>
      </c>
      <c r="D9" s="26" t="str">
        <f aca="false">IF(LOCAL_DE_EXECUCAO="","",LOCAL_DE_EXECUCAO)</f>
        <v>Procuradoria da República em Mato Grosso do Sul em Campo Grande e Procuradorias da República nos Municípios de Dourados, Três Lagoas, Corumbá e Naviraí</v>
      </c>
      <c r="E9" s="26"/>
      <c r="F9" s="26"/>
      <c r="G9" s="26"/>
      <c r="H9" s="26"/>
    </row>
    <row r="10" customFormat="false" ht="18.75" hidden="false" customHeight="true" outlineLevel="0" collapsed="false">
      <c r="A10" s="7"/>
      <c r="B10" s="48" t="s">
        <v>20</v>
      </c>
      <c r="C10" s="15" t="s">
        <v>24</v>
      </c>
      <c r="D10" s="15"/>
      <c r="E10" s="15"/>
      <c r="F10" s="125" t="str">
        <f aca="false">ACORDO_COLETIVO</f>
        <v>XX/20XX</v>
      </c>
      <c r="G10" s="125"/>
      <c r="H10" s="125"/>
    </row>
    <row r="11" customFormat="false" ht="15.95" hidden="false" customHeight="true" outlineLevel="0" collapsed="false">
      <c r="A11" s="7"/>
      <c r="B11" s="61" t="s">
        <v>23</v>
      </c>
      <c r="C11" s="108" t="s">
        <v>26</v>
      </c>
      <c r="D11" s="108"/>
      <c r="E11" s="108"/>
      <c r="F11" s="51" t="n">
        <f aca="false">NUMERO_MESES_EXEC_CONTRATUAL</f>
        <v>12</v>
      </c>
      <c r="G11" s="51"/>
      <c r="H11" s="51"/>
    </row>
    <row r="12" customFormat="false" ht="13.8" hidden="false" customHeight="false" outlineLevel="0" collapsed="false">
      <c r="A12" s="7"/>
      <c r="B12" s="61" t="s">
        <v>25</v>
      </c>
      <c r="C12" s="126" t="s">
        <v>203</v>
      </c>
      <c r="D12" s="126"/>
      <c r="E12" s="126"/>
      <c r="F12" s="49" t="n">
        <f aca="false">'INSERÇÃO-DE-DADOS'!F19+'INSERÇÃO-DE-DADOS'!F20+'INSERÇÃO-DE-DADOS'!F21</f>
        <v>7</v>
      </c>
      <c r="G12" s="49"/>
      <c r="H12" s="49"/>
    </row>
    <row r="13" s="127" customFormat="true" ht="21" hidden="false" customHeight="true" outlineLevel="0" collapsed="false">
      <c r="B13" s="128" t="s">
        <v>51</v>
      </c>
      <c r="C13" s="128"/>
      <c r="D13" s="128"/>
      <c r="E13" s="128"/>
      <c r="F13" s="128"/>
      <c r="G13" s="128"/>
      <c r="H13" s="128"/>
    </row>
    <row r="14" s="7" customFormat="true" ht="13.8" hidden="false" customHeight="false" outlineLevel="0" collapsed="false">
      <c r="B14" s="48" t="n">
        <v>1</v>
      </c>
      <c r="C14" s="15" t="s">
        <v>43</v>
      </c>
      <c r="D14" s="15"/>
      <c r="E14" s="129" t="str">
        <f aca="false">TIPO_DE_SERVICO</f>
        <v>Vigilância</v>
      </c>
      <c r="F14" s="129"/>
      <c r="G14" s="129"/>
      <c r="H14" s="129"/>
    </row>
    <row r="15" s="6" customFormat="true" ht="13.8" hidden="false" customHeight="false" outlineLevel="0" collapsed="false">
      <c r="B15" s="48" t="n">
        <v>2</v>
      </c>
      <c r="C15" s="130" t="s">
        <v>45</v>
      </c>
      <c r="D15" s="121" t="str">
        <f aca="false">CBO</f>
        <v>5173-30</v>
      </c>
      <c r="E15" s="121"/>
      <c r="F15" s="121"/>
      <c r="G15" s="121"/>
      <c r="H15" s="121"/>
    </row>
    <row r="16" s="7" customFormat="true" ht="15" hidden="false" customHeight="true" outlineLevel="0" collapsed="false">
      <c r="B16" s="48" t="n">
        <v>3</v>
      </c>
      <c r="C16" s="131" t="s">
        <v>47</v>
      </c>
      <c r="D16" s="129" t="str">
        <f aca="false">CATEGORIA_PROFISSIONAL</f>
        <v>Vigilante</v>
      </c>
      <c r="E16" s="129"/>
      <c r="F16" s="129"/>
      <c r="G16" s="129"/>
      <c r="H16" s="129"/>
    </row>
    <row r="17" customFormat="false" ht="15" hidden="false" customHeight="true" outlineLevel="0" collapsed="false">
      <c r="A17" s="7"/>
      <c r="B17" s="48" t="n">
        <v>4</v>
      </c>
      <c r="C17" s="12" t="s">
        <v>49</v>
      </c>
      <c r="D17" s="12"/>
      <c r="E17" s="12"/>
      <c r="F17" s="132" t="str">
        <f aca="false">DATA_BASE_CATEGORIA</f>
        <v>XX/XX/20XX</v>
      </c>
      <c r="G17" s="132"/>
      <c r="H17" s="132"/>
    </row>
    <row r="18" s="133" customFormat="true" ht="30" hidden="false" customHeight="true" outlineLevel="0" collapsed="false">
      <c r="B18" s="134" t="s">
        <v>204</v>
      </c>
      <c r="C18" s="134"/>
      <c r="D18" s="134"/>
      <c r="E18" s="134"/>
      <c r="F18" s="134"/>
      <c r="G18" s="134"/>
      <c r="H18" s="134"/>
    </row>
    <row r="19" customFormat="false" ht="22.35" hidden="false" customHeight="true" outlineLevel="0" collapsed="false">
      <c r="A19" s="133"/>
      <c r="B19" s="61" t="s">
        <v>205</v>
      </c>
      <c r="C19" s="61"/>
      <c r="D19" s="61"/>
      <c r="E19" s="61"/>
      <c r="F19" s="61"/>
      <c r="G19" s="61"/>
      <c r="H19" s="61"/>
    </row>
    <row r="20" customFormat="false" ht="31.3" hidden="false" customHeight="false" outlineLevel="0" collapsed="false">
      <c r="A20" s="133"/>
      <c r="B20" s="70" t="s">
        <v>206</v>
      </c>
      <c r="C20" s="70"/>
      <c r="D20" s="70"/>
      <c r="E20" s="70"/>
      <c r="F20" s="135" t="s">
        <v>207</v>
      </c>
      <c r="G20" s="136" t="s">
        <v>208</v>
      </c>
      <c r="H20" s="136" t="s">
        <v>209</v>
      </c>
    </row>
    <row r="21" customFormat="false" ht="13.8" hidden="false" customHeight="false" outlineLevel="0" collapsed="false">
      <c r="B21" s="137" t="s">
        <v>210</v>
      </c>
      <c r="C21" s="137"/>
      <c r="D21" s="137"/>
      <c r="E21" s="137"/>
      <c r="F21" s="138" t="n">
        <v>2</v>
      </c>
      <c r="G21" s="138" t="n">
        <v>2</v>
      </c>
      <c r="H21" s="138" t="n">
        <v>1</v>
      </c>
    </row>
    <row r="22" customFormat="false" ht="29.85" hidden="false" customHeight="true" outlineLevel="0" collapsed="false">
      <c r="B22" s="59" t="s">
        <v>52</v>
      </c>
      <c r="E22" s="60"/>
      <c r="F22" s="60"/>
    </row>
    <row r="23" customFormat="false" ht="29.85" hidden="false" customHeight="true" outlineLevel="0" collapsed="false">
      <c r="B23" s="61" t="n">
        <v>1</v>
      </c>
      <c r="C23" s="22" t="s">
        <v>53</v>
      </c>
      <c r="D23" s="22"/>
      <c r="E23" s="22"/>
      <c r="F23" s="135" t="s">
        <v>207</v>
      </c>
      <c r="G23" s="136" t="s">
        <v>208</v>
      </c>
      <c r="H23" s="136" t="s">
        <v>209</v>
      </c>
    </row>
    <row r="24" customFormat="false" ht="16.5" hidden="false" customHeight="true" outlineLevel="0" collapsed="false">
      <c r="B24" s="61"/>
      <c r="C24" s="22"/>
      <c r="D24" s="22"/>
      <c r="E24" s="22"/>
      <c r="F24" s="22" t="s">
        <v>111</v>
      </c>
      <c r="G24" s="22" t="s">
        <v>111</v>
      </c>
      <c r="H24" s="22" t="s">
        <v>111</v>
      </c>
    </row>
    <row r="25" customFormat="false" ht="16.5" hidden="false" customHeight="true" outlineLevel="0" collapsed="false">
      <c r="B25" s="61" t="s">
        <v>15</v>
      </c>
      <c r="C25" s="63" t="s">
        <v>211</v>
      </c>
      <c r="D25" s="63"/>
      <c r="E25" s="63"/>
      <c r="F25" s="104" t="n">
        <f aca="false">SALARIO_BASE</f>
        <v>1332.15</v>
      </c>
      <c r="G25" s="104" t="n">
        <f aca="false">'INSERÇÃO-DE-DADOS'!F44</f>
        <v>1332.15</v>
      </c>
      <c r="H25" s="104" t="n">
        <f aca="false">SALARIO_BASE</f>
        <v>1332.15</v>
      </c>
    </row>
    <row r="26" customFormat="false" ht="16.5" hidden="false" customHeight="true" outlineLevel="0" collapsed="false">
      <c r="B26" s="61" t="s">
        <v>17</v>
      </c>
      <c r="C26" s="26" t="s">
        <v>212</v>
      </c>
      <c r="D26" s="26"/>
      <c r="E26" s="26"/>
      <c r="F26" s="139" t="n">
        <f aca="false">PERC_ADIC_PERIC%*SALARIO_BASE</f>
        <v>399.645</v>
      </c>
      <c r="G26" s="139" t="n">
        <f aca="false">'INSERÇÃO-DE-DADOS'!F45%*SALARIO_BASE</f>
        <v>399.645</v>
      </c>
      <c r="H26" s="139" t="n">
        <f aca="false">PERC_ADIC_PERIC%*SALARIO_BASE</f>
        <v>399.645</v>
      </c>
    </row>
    <row r="27" customFormat="false" ht="15.75" hidden="false" customHeight="true" outlineLevel="0" collapsed="false">
      <c r="B27" s="61" t="s">
        <v>20</v>
      </c>
      <c r="C27" s="10" t="s">
        <v>213</v>
      </c>
      <c r="D27" s="10"/>
      <c r="E27" s="10"/>
      <c r="F27" s="104" t="n">
        <f aca="false">((AL_1_A_SAL_BASE_12X36_NOT+AL_1_B_ADIC_PERIC_12X36_NOT)/DIVISOR_DE_HORAS)*DIAS_NA_SEMANA*MEDIA_ANUAL_DIAS_TRABALHO_MES*PERC_ADIC_NOT%</f>
        <v>167.511807272727</v>
      </c>
      <c r="G27" s="104"/>
      <c r="H27" s="104"/>
      <c r="I27" s="140"/>
      <c r="J27" s="140"/>
    </row>
    <row r="28" customFormat="false" ht="15.75" hidden="false" customHeight="true" outlineLevel="0" collapsed="false">
      <c r="B28" s="61" t="s">
        <v>23</v>
      </c>
      <c r="C28" s="26" t="s">
        <v>214</v>
      </c>
      <c r="D28" s="26"/>
      <c r="E28" s="26"/>
      <c r="F28" s="139" t="n">
        <f aca="false">(F25+F26)*PERC_HORA_NOTURNA_REDUZIDA%*(1+PERC_ADIC_NOT%)</f>
        <v>173.1102282</v>
      </c>
      <c r="G28" s="139"/>
      <c r="H28" s="139"/>
      <c r="L28" s="141"/>
    </row>
    <row r="29" customFormat="false" ht="46.25" hidden="false" customHeight="false" outlineLevel="0" collapsed="false">
      <c r="B29" s="61" t="s">
        <v>25</v>
      </c>
      <c r="C29" s="63" t="str">
        <f aca="false">OUTROS_REMUNERACAO_1_DESCRICAO</f>
        <v>Adicional Remuneração em dobro (Natal, Ano Novo e Dia do Vigilante) – Cláusula 32ª da CCT MS000170/2018 (caso o licitante use uma CCT sem o benefício, exclua-se o item ) (em % no campo de inserção)</v>
      </c>
      <c r="D29" s="63"/>
      <c r="E29" s="63"/>
      <c r="F29" s="104" t="n">
        <f aca="false">((F25+F26+F27+F28)/DIVISOR_DE_HORAS)*(HORAS_EM_DOBRO/MESES_NO_ANO)*OUTROS_REMUNERACAO_1%</f>
        <v>14.1301161509504</v>
      </c>
      <c r="G29" s="104" t="n">
        <f aca="false">((G25+G26+G27+G28)/DIVISOR_DE_HORAS)*(HORAS_EM_DOBRO/MESES_NO_ANO)*OUTROS_REMUNERACAO_1%</f>
        <v>11.8076931818182</v>
      </c>
      <c r="H29" s="104"/>
    </row>
    <row r="30" customFormat="false" ht="16.4" hidden="false" customHeight="false" outlineLevel="0" collapsed="false">
      <c r="B30" s="61" t="s">
        <v>60</v>
      </c>
      <c r="C30" s="142" t="str">
        <f aca="false">OUTROS_REMUNERACAO_2_DESCRICAO</f>
        <v>Outras Remunerações 1 (Especificar)</v>
      </c>
      <c r="D30" s="142"/>
      <c r="E30" s="142"/>
      <c r="F30" s="139" t="n">
        <f aca="false">OUTROS_REMUNERACAO_2</f>
        <v>0</v>
      </c>
      <c r="G30" s="139"/>
      <c r="H30" s="139"/>
      <c r="K30" s="140"/>
      <c r="L30" s="140"/>
      <c r="N30" s="143"/>
    </row>
    <row r="31" customFormat="false" ht="16.4" hidden="false" customHeight="false" outlineLevel="0" collapsed="false">
      <c r="B31" s="61" t="s">
        <v>72</v>
      </c>
      <c r="C31" s="63" t="str">
        <f aca="false">OUTROS_REMUNERACAO_3_DESCRICAO</f>
        <v>Outras Remunerações 2 (Especificar)</v>
      </c>
      <c r="D31" s="63"/>
      <c r="E31" s="63"/>
      <c r="F31" s="104" t="n">
        <f aca="false">OUTROS_REMUNERACAO_3</f>
        <v>0</v>
      </c>
      <c r="G31" s="104"/>
      <c r="H31" s="104"/>
    </row>
    <row r="32" customFormat="false" ht="16.5" hidden="false" customHeight="true" outlineLevel="0" collapsed="false">
      <c r="B32" s="62" t="s">
        <v>76</v>
      </c>
      <c r="C32" s="62"/>
      <c r="D32" s="62"/>
      <c r="E32" s="62"/>
      <c r="F32" s="144" t="n">
        <f aca="false">SUM(F25:F31)</f>
        <v>2086.54715162368</v>
      </c>
      <c r="G32" s="144" t="n">
        <f aca="false">SUM(G25:G31)</f>
        <v>1743.60269318182</v>
      </c>
      <c r="H32" s="144" t="n">
        <f aca="false">SUM(H25:H31)</f>
        <v>1731.795</v>
      </c>
    </row>
    <row r="33" customFormat="false" ht="13.8" hidden="false" customHeight="false" outlineLevel="0" collapsed="false">
      <c r="B33" s="59" t="s">
        <v>166</v>
      </c>
      <c r="E33" s="110"/>
      <c r="F33" s="110"/>
    </row>
    <row r="34" customFormat="false" ht="13.8" hidden="false" customHeight="false" outlineLevel="0" collapsed="false">
      <c r="B34" s="59" t="s">
        <v>167</v>
      </c>
      <c r="C34" s="76"/>
      <c r="D34" s="77"/>
      <c r="E34" s="78"/>
      <c r="F34" s="78"/>
    </row>
    <row r="35" customFormat="false" ht="31.3" hidden="false" customHeight="true" outlineLevel="0" collapsed="false">
      <c r="B35" s="61" t="s">
        <v>168</v>
      </c>
      <c r="C35" s="70" t="s">
        <v>169</v>
      </c>
      <c r="D35" s="70"/>
      <c r="E35" s="22" t="s">
        <v>65</v>
      </c>
      <c r="F35" s="135" t="s">
        <v>207</v>
      </c>
      <c r="G35" s="136" t="s">
        <v>208</v>
      </c>
      <c r="H35" s="136" t="s">
        <v>209</v>
      </c>
    </row>
    <row r="36" customFormat="false" ht="16.4" hidden="false" customHeight="false" outlineLevel="0" collapsed="false">
      <c r="B36" s="61"/>
      <c r="C36" s="70"/>
      <c r="D36" s="70"/>
      <c r="E36" s="22"/>
      <c r="F36" s="22" t="s">
        <v>111</v>
      </c>
      <c r="G36" s="22" t="s">
        <v>111</v>
      </c>
      <c r="H36" s="22" t="s">
        <v>111</v>
      </c>
    </row>
    <row r="37" customFormat="false" ht="16.5" hidden="false" customHeight="true" outlineLevel="0" collapsed="false">
      <c r="B37" s="61" t="s">
        <v>15</v>
      </c>
      <c r="C37" s="69" t="s">
        <v>171</v>
      </c>
      <c r="D37" s="69"/>
      <c r="E37" s="111" t="n">
        <f aca="false">PERC_DEC_TERC</f>
        <v>8.33333333333333</v>
      </c>
      <c r="F37" s="107" t="n">
        <f aca="false">PERC_DEC_TERC%*MOD_1_REMUNERACAO_12X36_NOT</f>
        <v>173.878929301973</v>
      </c>
      <c r="G37" s="107" t="n">
        <f aca="false">PERC_DEC_TERC%*G32</f>
        <v>145.300224431818</v>
      </c>
      <c r="H37" s="107" t="n">
        <f aca="false">PERC_DEC_TERC%*H32</f>
        <v>144.31625</v>
      </c>
    </row>
    <row r="38" s="103" customFormat="true" ht="16.5" hidden="false" customHeight="true" outlineLevel="0" collapsed="false">
      <c r="B38" s="22" t="s">
        <v>17</v>
      </c>
      <c r="C38" s="26" t="s">
        <v>173</v>
      </c>
      <c r="D38" s="26"/>
      <c r="E38" s="112" t="n">
        <f aca="false">PERC_ADIC_FERIAS</f>
        <v>2.77777777777778</v>
      </c>
      <c r="F38" s="109" t="n">
        <f aca="false">PERC_ADIC_FERIAS%*MOD_1_REMUNERACAO_12X36_NOT</f>
        <v>57.9596431006577</v>
      </c>
      <c r="G38" s="109" t="n">
        <f aca="false">PERC_ADIC_FERIAS%*G32</f>
        <v>48.4334081439394</v>
      </c>
      <c r="H38" s="109" t="n">
        <f aca="false">PERC_ADIC_FERIAS%*H32</f>
        <v>48.1054166666667</v>
      </c>
    </row>
    <row r="39" s="66" customFormat="true" ht="13.8" hidden="false" customHeight="false" outlineLevel="0" collapsed="false">
      <c r="B39" s="70" t="s">
        <v>76</v>
      </c>
      <c r="C39" s="70"/>
      <c r="D39" s="70"/>
      <c r="E39" s="70"/>
      <c r="F39" s="145" t="n">
        <f aca="false">SUM(F37:F38)</f>
        <v>231.838572402631</v>
      </c>
      <c r="G39" s="145" t="n">
        <f aca="false">SUM(G37:G38)</f>
        <v>193.733632575758</v>
      </c>
      <c r="H39" s="145" t="n">
        <f aca="false">SUM(H37:H38)</f>
        <v>192.421666666667</v>
      </c>
    </row>
    <row r="40" customFormat="false" ht="31.5" hidden="false" customHeight="true" outlineLevel="0" collapsed="false">
      <c r="A40" s="66"/>
      <c r="B40" s="146" t="s">
        <v>62</v>
      </c>
      <c r="C40" s="146"/>
      <c r="D40" s="146"/>
      <c r="E40" s="146"/>
      <c r="F40" s="146"/>
    </row>
    <row r="41" customFormat="false" ht="31.5" hidden="false" customHeight="true" outlineLevel="0" collapsed="false">
      <c r="A41" s="66"/>
      <c r="B41" s="61" t="s">
        <v>63</v>
      </c>
      <c r="C41" s="68" t="s">
        <v>64</v>
      </c>
      <c r="D41" s="68"/>
      <c r="E41" s="22" t="s">
        <v>65</v>
      </c>
      <c r="F41" s="135" t="s">
        <v>207</v>
      </c>
      <c r="G41" s="136" t="s">
        <v>208</v>
      </c>
      <c r="H41" s="136" t="s">
        <v>209</v>
      </c>
    </row>
    <row r="42" customFormat="false" ht="34.5" hidden="false" customHeight="true" outlineLevel="0" collapsed="false">
      <c r="A42" s="66"/>
      <c r="B42" s="61"/>
      <c r="C42" s="68"/>
      <c r="D42" s="68"/>
      <c r="E42" s="22"/>
      <c r="F42" s="22" t="s">
        <v>111</v>
      </c>
      <c r="G42" s="22" t="s">
        <v>111</v>
      </c>
      <c r="H42" s="22" t="s">
        <v>111</v>
      </c>
    </row>
    <row r="43" customFormat="false" ht="16.5" hidden="false" customHeight="true" outlineLevel="0" collapsed="false">
      <c r="B43" s="61" t="s">
        <v>15</v>
      </c>
      <c r="C43" s="69" t="s">
        <v>66</v>
      </c>
      <c r="D43" s="69"/>
      <c r="E43" s="111" t="n">
        <f aca="false">PERC_INSS</f>
        <v>20</v>
      </c>
      <c r="F43" s="107" t="n">
        <f aca="false">PERC_INSS%*(MOD_1_REMUNERACAO_12X36_NOT+SUBMOD_2_1_DEC_TERC_ADIC_FERIAS_12X36_NOT)</f>
        <v>463.677144805262</v>
      </c>
      <c r="G43" s="107" t="n">
        <f aca="false">PERC_INSS%*(G32+G39)</f>
        <v>387.467265151515</v>
      </c>
      <c r="H43" s="107" t="n">
        <f aca="false">PERC_INSS%*(H32+H39)</f>
        <v>384.843333333333</v>
      </c>
    </row>
    <row r="44" s="7" customFormat="true" ht="16.5" hidden="false" customHeight="true" outlineLevel="0" collapsed="false">
      <c r="B44" s="22" t="s">
        <v>17</v>
      </c>
      <c r="C44" s="26" t="s">
        <v>67</v>
      </c>
      <c r="D44" s="26"/>
      <c r="E44" s="113" t="n">
        <f aca="false">PERC_SAL_EDUCACAO</f>
        <v>2.5</v>
      </c>
      <c r="F44" s="109" t="n">
        <f aca="false">PERC_SAL_EDUCACAO%*(MOD_1_REMUNERACAO_12X36_NOT+SUBMOD_2_1_DEC_TERC_ADIC_FERIAS_12X36_NOT)</f>
        <v>57.9596431006577</v>
      </c>
      <c r="G44" s="109" t="n">
        <f aca="false">PERC_SAL_EDUCACAO%*(G32+G39)</f>
        <v>48.4334081439394</v>
      </c>
      <c r="H44" s="109" t="n">
        <f aca="false">PERC_SAL_EDUCACAO%*(H32+H39)</f>
        <v>48.1054166666667</v>
      </c>
    </row>
    <row r="45" customFormat="false" ht="16.5" hidden="false" customHeight="true" outlineLevel="0" collapsed="false">
      <c r="A45" s="7"/>
      <c r="B45" s="22" t="s">
        <v>20</v>
      </c>
      <c r="C45" s="69" t="s">
        <v>175</v>
      </c>
      <c r="D45" s="69"/>
      <c r="E45" s="111" t="n">
        <f aca="false">PERC_RAT</f>
        <v>3</v>
      </c>
      <c r="F45" s="107" t="n">
        <f aca="false">PERC_RAT%*(MOD_1_REMUNERACAO_12X36_NOT+SUBMOD_2_1_DEC_TERC_ADIC_FERIAS_12X36_NOT)</f>
        <v>69.5515717207892</v>
      </c>
      <c r="G45" s="107" t="n">
        <f aca="false">PERC_RAT%*(G32+G39)</f>
        <v>58.1200897727273</v>
      </c>
      <c r="H45" s="107" t="n">
        <f aca="false">PERC_RAT%*(H32+H39)</f>
        <v>57.7265</v>
      </c>
    </row>
    <row r="46" customFormat="false" ht="16.5" hidden="false" customHeight="true" outlineLevel="0" collapsed="false">
      <c r="A46" s="7"/>
      <c r="B46" s="22" t="s">
        <v>23</v>
      </c>
      <c r="C46" s="26" t="s">
        <v>69</v>
      </c>
      <c r="D46" s="26"/>
      <c r="E46" s="112" t="n">
        <f aca="false">PERC_SESC</f>
        <v>1.5</v>
      </c>
      <c r="F46" s="109" t="n">
        <f aca="false">PERC_SESC%*(MOD_1_REMUNERACAO_12X36_NOT+SUBMOD_2_1_DEC_TERC_ADIC_FERIAS_12X36_NOT)</f>
        <v>34.7757858603946</v>
      </c>
      <c r="G46" s="109" t="n">
        <f aca="false">PERC_SESC%*(G32+G39)</f>
        <v>29.0600448863636</v>
      </c>
      <c r="H46" s="109" t="n">
        <f aca="false">PERC_SESC%*(H32+H39)</f>
        <v>28.86325</v>
      </c>
    </row>
    <row r="47" customFormat="false" ht="16.5" hidden="false" customHeight="true" outlineLevel="0" collapsed="false">
      <c r="A47" s="7"/>
      <c r="B47" s="22" t="s">
        <v>25</v>
      </c>
      <c r="C47" s="69" t="s">
        <v>70</v>
      </c>
      <c r="D47" s="69"/>
      <c r="E47" s="111" t="n">
        <f aca="false">PERC_SENAC</f>
        <v>1</v>
      </c>
      <c r="F47" s="107" t="n">
        <f aca="false">PERC_SENAC%*(MOD_1_REMUNERACAO_12X36_NOT+SUBMOD_2_1_DEC_TERC_ADIC_FERIAS_12X36_NOT)</f>
        <v>23.1838572402631</v>
      </c>
      <c r="G47" s="107" t="n">
        <f aca="false">PERC_SENAC%*(G32+G39)</f>
        <v>19.3733632575758</v>
      </c>
      <c r="H47" s="107" t="n">
        <f aca="false">PERC_SENAC%*(H32+H39)</f>
        <v>19.2421666666667</v>
      </c>
    </row>
    <row r="48" s="6" customFormat="true" ht="16.5" hidden="false" customHeight="true" outlineLevel="0" collapsed="false">
      <c r="B48" s="22" t="s">
        <v>60</v>
      </c>
      <c r="C48" s="26" t="s">
        <v>71</v>
      </c>
      <c r="D48" s="26"/>
      <c r="E48" s="113" t="n">
        <f aca="false">PERC_SEBRAE</f>
        <v>0.6</v>
      </c>
      <c r="F48" s="109" t="n">
        <f aca="false">PERC_SEBRAE%*(MOD_1_REMUNERACAO_12X36_NOT+SUBMOD_2_1_DEC_TERC_ADIC_FERIAS_12X36_NOT)</f>
        <v>13.9103143441579</v>
      </c>
      <c r="G48" s="109" t="n">
        <f aca="false">PERC_SEBRAE%*(G32+G39)</f>
        <v>11.6240179545455</v>
      </c>
      <c r="H48" s="109" t="n">
        <f aca="false">PERC_SEBRAE%*(H32+H39)</f>
        <v>11.5453</v>
      </c>
    </row>
    <row r="49" customFormat="false" ht="16.5" hidden="false" customHeight="true" outlineLevel="0" collapsed="false">
      <c r="A49" s="6"/>
      <c r="B49" s="22" t="s">
        <v>72</v>
      </c>
      <c r="C49" s="69" t="s">
        <v>73</v>
      </c>
      <c r="D49" s="69"/>
      <c r="E49" s="111" t="n">
        <f aca="false">PERC_INCRA</f>
        <v>0.2</v>
      </c>
      <c r="F49" s="107" t="n">
        <f aca="false">PERC_INCRA%*(MOD_1_REMUNERACAO_12X36_NOT+SUBMOD_2_1_DEC_TERC_ADIC_FERIAS_12X36_NOT)</f>
        <v>4.63677144805262</v>
      </c>
      <c r="G49" s="107" t="n">
        <f aca="false">PERC_INCRA%*(G32+G39)</f>
        <v>3.87467265151515</v>
      </c>
      <c r="H49" s="107" t="n">
        <f aca="false">PERC_INCRA%*(H32+H39)</f>
        <v>3.84843333333333</v>
      </c>
    </row>
    <row r="50" customFormat="false" ht="16.5" hidden="false" customHeight="true" outlineLevel="0" collapsed="false">
      <c r="B50" s="22" t="s">
        <v>74</v>
      </c>
      <c r="C50" s="26" t="s">
        <v>75</v>
      </c>
      <c r="D50" s="26"/>
      <c r="E50" s="113" t="n">
        <f aca="false">PERC_FGTS</f>
        <v>8</v>
      </c>
      <c r="F50" s="109" t="n">
        <f aca="false">PERC_FGTS%*(MOD_1_REMUNERACAO_12X36_NOT+SUBMOD_2_1_DEC_TERC_ADIC_FERIAS_12X36_NOT)</f>
        <v>185.470857922105</v>
      </c>
      <c r="G50" s="109" t="n">
        <f aca="false">PERC_FGTS%*(G32+G39)</f>
        <v>154.986906060606</v>
      </c>
      <c r="H50" s="109" t="n">
        <f aca="false">PERC_FGTS%*(H32+H39)</f>
        <v>153.937333333333</v>
      </c>
    </row>
    <row r="51" customFormat="false" ht="13.8" hidden="false" customHeight="false" outlineLevel="0" collapsed="false">
      <c r="B51" s="70" t="s">
        <v>76</v>
      </c>
      <c r="C51" s="70"/>
      <c r="D51" s="70"/>
      <c r="E51" s="70"/>
      <c r="F51" s="147" t="n">
        <f aca="false">SUM(F43:F50)</f>
        <v>853.165946441681</v>
      </c>
      <c r="G51" s="147" t="n">
        <f aca="false">SUM(G43:G50)</f>
        <v>712.939767878788</v>
      </c>
      <c r="H51" s="147" t="n">
        <f aca="false">SUM(H43:H50)</f>
        <v>708.111733333333</v>
      </c>
    </row>
    <row r="52" customFormat="false" ht="15.75" hidden="false" customHeight="true" outlineLevel="0" collapsed="false">
      <c r="B52" s="59" t="s">
        <v>77</v>
      </c>
      <c r="C52" s="6"/>
      <c r="D52" s="6"/>
      <c r="E52" s="6"/>
      <c r="F52" s="6"/>
    </row>
    <row r="53" customFormat="false" ht="31.3" hidden="false" customHeight="true" outlineLevel="0" collapsed="false">
      <c r="B53" s="61" t="s">
        <v>78</v>
      </c>
      <c r="C53" s="62" t="s">
        <v>79</v>
      </c>
      <c r="D53" s="62"/>
      <c r="E53" s="62"/>
      <c r="F53" s="135" t="s">
        <v>207</v>
      </c>
      <c r="G53" s="136" t="s">
        <v>208</v>
      </c>
      <c r="H53" s="136" t="s">
        <v>209</v>
      </c>
    </row>
    <row r="54" customFormat="false" ht="15.75" hidden="false" customHeight="true" outlineLevel="0" collapsed="false">
      <c r="B54" s="61"/>
      <c r="C54" s="62"/>
      <c r="D54" s="62"/>
      <c r="E54" s="62"/>
      <c r="F54" s="22" t="s">
        <v>111</v>
      </c>
      <c r="G54" s="22" t="s">
        <v>111</v>
      </c>
      <c r="H54" s="22" t="s">
        <v>111</v>
      </c>
    </row>
    <row r="55" customFormat="false" ht="16.5" hidden="false" customHeight="true" outlineLevel="0" collapsed="false">
      <c r="B55" s="48" t="s">
        <v>15</v>
      </c>
      <c r="C55" s="69" t="s">
        <v>82</v>
      </c>
      <c r="D55" s="69"/>
      <c r="E55" s="69"/>
      <c r="F55" s="107" t="n">
        <f aca="false">IF(((TRANSPORTE_POR_DIA*DIAS_TRABALHADOS_NO_MES_12X36)-(PERC_DESC_TRANSP_REMUNERACAO%*(AL_1_A_SAL_BASE_12X36_NOT/2)))&gt;0,((TRANSPORTE_POR_DIA*DIAS_TRABALHADOS_NO_MES_12X36)-(PERC_DESC_TRANSP_REMUNERACAO%*(AL_1_A_SAL_BASE_12X36_NOT/2))),0)</f>
        <v>83.0355</v>
      </c>
      <c r="G55" s="107" t="n">
        <f aca="false">IF(((TRANSPORTE_POR_DIA*DIAS_TRABALHADOS_NO_MES_12X36)-(PERC_DESC_TRANSP_REMUNERACAO%*(G25/2)))&gt;0,((TRANSPORTE_POR_DIA*DIAS_TRABALHADOS_NO_MES_12X36)-(PERC_DESC_TRANSP_REMUNERACAO%*(G25/2))),0)</f>
        <v>83.0355</v>
      </c>
      <c r="H55" s="107" t="n">
        <f aca="false">IF(((TRANSPORTE_POR_DIA*DIAS_UTEIS_TRABALHADOS_NO_MES_44HORAS)-(PERC_DESC_TRANSP_REMUNERACAO%*(SALARIO_BASE)))&gt;0,((TRANSPORTE_POR_DIA*DIAS_UTEIS_TRABALHADOS_NO_MES_44HORAS)-(PERC_DESC_TRANSP_REMUNERACAO%*(SALARIO_BASE))),0)</f>
        <v>100.471</v>
      </c>
    </row>
    <row r="56" s="66" customFormat="true" ht="16.5" hidden="false" customHeight="true" outlineLevel="0" collapsed="false">
      <c r="B56" s="48" t="s">
        <v>17</v>
      </c>
      <c r="C56" s="26" t="s">
        <v>93</v>
      </c>
      <c r="D56" s="26"/>
      <c r="E56" s="26"/>
      <c r="F56" s="109" t="n">
        <f aca="false">(ALIMENTACAO_POR_DIA*DIAS_TRABALHADOS_NO_MES_12X36)-(SALARIO_BASE*PERC_DESC_ALIMENTACAO%)</f>
        <v>348.9285</v>
      </c>
      <c r="G56" s="109" t="n">
        <f aca="false">(ALIMENTACAO_POR_DIA*DIAS_TRABALHADOS_NO_MES_12X36)-(SALARIO_BASE*PERC_DESC_ALIMENTACAO%)</f>
        <v>348.9285</v>
      </c>
      <c r="H56" s="109" t="n">
        <f aca="false">(ALIMENTACAO_POR_DIA*DIAS_UTEIS_TRABALHADOS_NO_MES_44HORAS)-(SALARIO_BASE*PERC_DESC_ALIMENTACAO%)</f>
        <v>517.9785</v>
      </c>
    </row>
    <row r="57" s="66" customFormat="true" ht="16.4" hidden="false" customHeight="false" outlineLevel="0" collapsed="false">
      <c r="B57" s="48" t="s">
        <v>20</v>
      </c>
      <c r="C57" s="63" t="str">
        <f aca="false">OUTROS_BENEFICIOS_1_DESCRICAO</f>
        <v>Seguro de vida em grupo</v>
      </c>
      <c r="D57" s="63"/>
      <c r="E57" s="63"/>
      <c r="F57" s="107" t="n">
        <f aca="false">OUTROS_BENEFICIOS_1</f>
        <v>11.83</v>
      </c>
      <c r="G57" s="107" t="n">
        <f aca="false">OUTROS_BENEFICIOS_1</f>
        <v>11.83</v>
      </c>
      <c r="H57" s="107" t="n">
        <f aca="false">OUTROS_BENEFICIOS_1</f>
        <v>11.83</v>
      </c>
    </row>
    <row r="58" customFormat="false" ht="16.4" hidden="false" customHeight="false" outlineLevel="0" collapsed="false">
      <c r="A58" s="66"/>
      <c r="B58" s="48" t="s">
        <v>23</v>
      </c>
      <c r="C58" s="142" t="str">
        <f aca="false">OUTROS_BENEFICIOS_2_DESCRICAO</f>
        <v>Programa Familiar Assistencial e de Saúde</v>
      </c>
      <c r="D58" s="142"/>
      <c r="E58" s="142"/>
      <c r="F58" s="109" t="n">
        <f aca="false">OUTROS_BENEFICIOS_2</f>
        <v>49.79</v>
      </c>
      <c r="G58" s="109" t="n">
        <f aca="false">OUTROS_BENEFICIOS_2</f>
        <v>49.79</v>
      </c>
      <c r="H58" s="109" t="n">
        <f aca="false">OUTROS_BENEFICIOS_2</f>
        <v>49.79</v>
      </c>
    </row>
    <row r="59" customFormat="false" ht="16.4" hidden="false" customHeight="false" outlineLevel="0" collapsed="false">
      <c r="A59" s="66"/>
      <c r="B59" s="48" t="s">
        <v>25</v>
      </c>
      <c r="C59" s="63" t="str">
        <f aca="false">OUTROS_BENEFICIOS_3_DESCRICAO</f>
        <v>Outros Benefícios 1 (Especificar)</v>
      </c>
      <c r="D59" s="63"/>
      <c r="E59" s="63"/>
      <c r="F59" s="107" t="n">
        <f aca="false">OUTROS_BENEFICIOS_3</f>
        <v>0</v>
      </c>
      <c r="G59" s="107" t="n">
        <f aca="false">OUTROS_BENEFICIOS_3</f>
        <v>0</v>
      </c>
      <c r="H59" s="107" t="n">
        <f aca="false">OUTROS_BENEFICIOS_3</f>
        <v>0</v>
      </c>
    </row>
    <row r="60" customFormat="false" ht="15" hidden="false" customHeight="true" outlineLevel="0" collapsed="false">
      <c r="A60" s="66"/>
      <c r="B60" s="62" t="s">
        <v>76</v>
      </c>
      <c r="C60" s="62"/>
      <c r="D60" s="62"/>
      <c r="E60" s="62"/>
      <c r="F60" s="144" t="n">
        <f aca="false">SUM(F55:F59)</f>
        <v>493.584</v>
      </c>
      <c r="G60" s="144" t="n">
        <f aca="false">SUM(G55:G59)</f>
        <v>493.584</v>
      </c>
      <c r="H60" s="144" t="n">
        <f aca="false">SUM(H55:H59)</f>
        <v>680.0695</v>
      </c>
    </row>
    <row r="61" customFormat="false" ht="16.5" hidden="false" customHeight="false" outlineLevel="0" collapsed="false">
      <c r="A61" s="66"/>
      <c r="B61" s="59" t="s">
        <v>146</v>
      </c>
      <c r="C61" s="76"/>
      <c r="D61" s="77"/>
      <c r="E61" s="78"/>
      <c r="F61" s="78"/>
    </row>
    <row r="62" customFormat="false" ht="31.3" hidden="false" customHeight="true" outlineLevel="0" collapsed="false">
      <c r="A62" s="66"/>
      <c r="B62" s="61" t="n">
        <v>3</v>
      </c>
      <c r="C62" s="70" t="s">
        <v>147</v>
      </c>
      <c r="D62" s="70"/>
      <c r="E62" s="22" t="s">
        <v>65</v>
      </c>
      <c r="F62" s="135" t="s">
        <v>207</v>
      </c>
      <c r="G62" s="136" t="s">
        <v>208</v>
      </c>
      <c r="H62" s="136" t="s">
        <v>209</v>
      </c>
    </row>
    <row r="63" customFormat="false" ht="15" hidden="false" customHeight="true" outlineLevel="0" collapsed="false">
      <c r="A63" s="66"/>
      <c r="B63" s="61"/>
      <c r="C63" s="70"/>
      <c r="D63" s="70"/>
      <c r="E63" s="22"/>
      <c r="F63" s="22" t="s">
        <v>111</v>
      </c>
      <c r="G63" s="22" t="s">
        <v>111</v>
      </c>
      <c r="H63" s="22" t="s">
        <v>111</v>
      </c>
    </row>
    <row r="64" customFormat="false" ht="16.4" hidden="false" customHeight="false" outlineLevel="0" collapsed="false">
      <c r="A64" s="66"/>
      <c r="B64" s="61" t="s">
        <v>15</v>
      </c>
      <c r="C64" s="114" t="s">
        <v>176</v>
      </c>
      <c r="D64" s="114"/>
      <c r="E64" s="111" t="n">
        <f aca="false">PERC_AVISO_PREVIO_IND</f>
        <v>0.29105125</v>
      </c>
      <c r="F64" s="107" t="n">
        <f aca="false">PERC_AVISO_PREVIO_IND%*(MOD_1_REMUNERACAO_12X36_NOT+SUBMOD_2_1_DEC_TERC_ADIC_FERIAS_12X36_NOT+AL_2_2_FGTS_12X36_NOT+SUBMOD_2_3_BENEFICIOS_12X36_NOT)</f>
        <v>8.72408828176813</v>
      </c>
      <c r="G64" s="107" t="n">
        <f aca="false">PERC_AVISO_PREVIO_IND%*(G32+G39+G50+G60)</f>
        <v>7.52631532204722</v>
      </c>
      <c r="H64" s="107" t="n">
        <f aca="false">PERC_AVISO_PREVIO_IND%*(H32+H39+H50+H60)</f>
        <v>8.02784397454375</v>
      </c>
    </row>
    <row r="65" customFormat="false" ht="16.4" hidden="false" customHeight="false" outlineLevel="0" collapsed="false">
      <c r="A65" s="66"/>
      <c r="B65" s="22" t="s">
        <v>17</v>
      </c>
      <c r="C65" s="115" t="s">
        <v>178</v>
      </c>
      <c r="D65" s="115"/>
      <c r="E65" s="113" t="n">
        <f aca="false">PERC_FGTS_AVISO_PREV_IND</f>
        <v>0.0232841</v>
      </c>
      <c r="F65" s="109" t="n">
        <f aca="false">PERC_FGTS_AVISO_PREV_IND%*(MOD_1_REMUNERACAO_12X36_NOT+SUBMOD_2_1_DEC_TERC_ADIC_FERIAS_12X36_NOT)</f>
        <v>0.53981525036801</v>
      </c>
      <c r="G65" s="109" t="n">
        <f aca="false">PERC_FGTS_AVISO_PREV_IND%*(G32+G39)</f>
        <v>0.45109132742572</v>
      </c>
      <c r="H65" s="109" t="n">
        <f aca="false">PERC_FGTS_AVISO_PREV_IND%*(H32+H39)</f>
        <v>0.448036532883333</v>
      </c>
    </row>
    <row r="66" s="7" customFormat="true" ht="34.5" hidden="false" customHeight="true" outlineLevel="0" collapsed="false">
      <c r="B66" s="22" t="s">
        <v>20</v>
      </c>
      <c r="C66" s="114" t="s">
        <v>215</v>
      </c>
      <c r="D66" s="114"/>
      <c r="E66" s="111" t="n">
        <f aca="false">PERC_MULTA_FGTS_AV_PREV_IND</f>
        <v>0.00931364</v>
      </c>
      <c r="F66" s="107" t="n">
        <f aca="false">PERC_MULTA_FGTS_AV_PREV_IND%*(MOD_1_REMUNERACAO_12X36_NOT+SUBMOD_2_1_DEC_TERC_ADIC_FERIAS_12X36_NOT)</f>
        <v>0.215926100147204</v>
      </c>
      <c r="G66" s="107" t="n">
        <f aca="false">PERC_MULTA_FGTS_AV_PREV_IND%*(G32+G39)</f>
        <v>0.180436530970288</v>
      </c>
      <c r="H66" s="107" t="n">
        <f aca="false">PERC_MULTA_FGTS_AV_PREV_IND%*(H32+H39)</f>
        <v>0.179214613153333</v>
      </c>
    </row>
    <row r="67" s="66" customFormat="true" ht="16.4" hidden="false" customHeight="false" outlineLevel="0" collapsed="false">
      <c r="B67" s="22" t="s">
        <v>23</v>
      </c>
      <c r="C67" s="115" t="s">
        <v>182</v>
      </c>
      <c r="D67" s="115"/>
      <c r="E67" s="113" t="n">
        <f aca="false">PERC_AVISO_PREVIO_TRAB</f>
        <v>1.15572693055556</v>
      </c>
      <c r="F67" s="109" t="n">
        <f aca="false">PERC_AVISO_PREVIO_TRAB%*(MOD_1_REMUNERACAO_12X36_NOT+SUBMOD_2_1_DEC_TERC_ADIC_FERIAS_12X36_NOT+SUBMOD_2_2_GPS_FGTS_12X36_NOT+SUBMOD_2_3_BENEFICIOS_12X36_NOT)</f>
        <v>42.3589599849965</v>
      </c>
      <c r="G67" s="109" t="n">
        <f aca="false">PERC_AVISO_PREVIO_TRAB%*(G32+G39+G51+G60)</f>
        <v>36.3344377611446</v>
      </c>
      <c r="H67" s="109" t="n">
        <f aca="false">PERC_AVISO_PREVIO_TRAB%*(H32+H39+H51+H60)</f>
        <v>38.2822745774567</v>
      </c>
    </row>
    <row r="68" s="7" customFormat="true" ht="35.25" hidden="false" customHeight="true" outlineLevel="0" collapsed="false">
      <c r="B68" s="22" t="s">
        <v>25</v>
      </c>
      <c r="C68" s="114" t="s">
        <v>184</v>
      </c>
      <c r="D68" s="114"/>
      <c r="E68" s="111" t="n">
        <f aca="false">PERC_GPS_FGTS_AVISO_PREVIO_TRAB</f>
        <v>0.425307510444444</v>
      </c>
      <c r="F68" s="107" t="n">
        <f aca="false">PERC_GPS_FGTS_AVISO_PREVIO_TRAB%*(MOD_1_REMUNERACAO_12X36_NOT+SUBMOD_2_1_DEC_TERC_ADIC_FERIAS_12X36_NOT)</f>
        <v>9.8602686053557</v>
      </c>
      <c r="G68" s="107" t="n">
        <f aca="false">PERC_GPS_FGTS_AVISO_PREVIO_TRAB%*(G32+G39)</f>
        <v>8.23963689601542</v>
      </c>
      <c r="H68" s="107" t="n">
        <f aca="false">PERC_GPS_FGTS_AVISO_PREVIO_TRAB%*(H32+H39)</f>
        <v>8.18383800055707</v>
      </c>
    </row>
    <row r="69" customFormat="false" ht="32.25" hidden="false" customHeight="true" outlineLevel="0" collapsed="false">
      <c r="A69" s="7"/>
      <c r="B69" s="22" t="s">
        <v>60</v>
      </c>
      <c r="C69" s="115" t="s">
        <v>216</v>
      </c>
      <c r="D69" s="115"/>
      <c r="E69" s="113" t="n">
        <f aca="false">PERC_MULTA_FGTS_AV_PREV_TRAB</f>
        <v>0.04</v>
      </c>
      <c r="F69" s="109" t="n">
        <f aca="false">PERC_MULTA_FGTS_AV_PREV_TRAB%*(MOD_1_REMUNERACAO_12X36_NOT+SUBMOD_2_1_DEC_TERC_ADIC_FERIAS_12X36_NOT)</f>
        <v>0.927354289610523</v>
      </c>
      <c r="G69" s="109" t="n">
        <f aca="false">PERC_MULTA_FGTS_AV_PREV_TRAB%*(G32+G39)</f>
        <v>0.77493453030303</v>
      </c>
      <c r="H69" s="109" t="n">
        <f aca="false">PERC_MULTA_FGTS_AV_PREV_TRAB%*(H32+H39)</f>
        <v>0.769686666666667</v>
      </c>
    </row>
    <row r="70" customFormat="false" ht="13.8" hidden="false" customHeight="false" outlineLevel="0" collapsed="false">
      <c r="A70" s="7"/>
      <c r="B70" s="70" t="s">
        <v>76</v>
      </c>
      <c r="C70" s="70"/>
      <c r="D70" s="70"/>
      <c r="E70" s="70"/>
      <c r="F70" s="145" t="n">
        <f aca="false">SUM(F64:F69)</f>
        <v>62.6264125122461</v>
      </c>
      <c r="G70" s="145" t="n">
        <f aca="false">SUM(G64:G69)</f>
        <v>53.5068523679062</v>
      </c>
      <c r="H70" s="145" t="n">
        <f aca="false">SUM(H64:H69)</f>
        <v>55.8908943652608</v>
      </c>
    </row>
    <row r="71" customFormat="false" ht="7.5" hidden="false" customHeight="true" outlineLevel="0" collapsed="false">
      <c r="B71" s="148"/>
      <c r="C71" s="103"/>
      <c r="D71" s="47"/>
      <c r="E71" s="60"/>
      <c r="F71" s="60"/>
    </row>
    <row r="72" s="7" customFormat="true" ht="15.95" hidden="false" customHeight="true" outlineLevel="0" collapsed="false">
      <c r="B72" s="59" t="str">
        <f aca="false">'INSERÇÃO-DE-DADOS'!B75</f>
        <v>MÓDULO 4: CUSTO DE REPOSIÇÃO DO PROFISSIONAL AUSENTE/INTRAJORNADA</v>
      </c>
      <c r="C72" s="76"/>
      <c r="D72" s="77"/>
      <c r="E72" s="1"/>
      <c r="F72" s="1"/>
    </row>
    <row r="73" s="7" customFormat="true" ht="15.95" hidden="false" customHeight="true" outlineLevel="0" collapsed="false">
      <c r="B73" s="59" t="s">
        <v>99</v>
      </c>
      <c r="C73" s="76"/>
      <c r="D73" s="77"/>
      <c r="E73" s="78"/>
      <c r="F73" s="78"/>
    </row>
    <row r="74" s="7" customFormat="true" ht="31.3" hidden="false" customHeight="true" outlineLevel="0" collapsed="false">
      <c r="B74" s="61" t="s">
        <v>100</v>
      </c>
      <c r="C74" s="62" t="s">
        <v>101</v>
      </c>
      <c r="D74" s="62"/>
      <c r="E74" s="22" t="s">
        <v>65</v>
      </c>
      <c r="F74" s="135" t="s">
        <v>207</v>
      </c>
      <c r="G74" s="136" t="s">
        <v>208</v>
      </c>
      <c r="H74" s="136" t="s">
        <v>209</v>
      </c>
    </row>
    <row r="75" s="7" customFormat="true" ht="16.5" hidden="false" customHeight="true" outlineLevel="0" collapsed="false">
      <c r="B75" s="61"/>
      <c r="C75" s="62"/>
      <c r="D75" s="62"/>
      <c r="E75" s="22"/>
      <c r="F75" s="22" t="s">
        <v>111</v>
      </c>
      <c r="G75" s="22" t="s">
        <v>111</v>
      </c>
      <c r="H75" s="22" t="s">
        <v>111</v>
      </c>
    </row>
    <row r="76" s="7" customFormat="true" ht="15.95" hidden="false" customHeight="true" outlineLevel="0" collapsed="false">
      <c r="B76" s="22" t="s">
        <v>15</v>
      </c>
      <c r="C76" s="69" t="s">
        <v>188</v>
      </c>
      <c r="D76" s="69"/>
      <c r="E76" s="111" t="n">
        <f aca="false">PERC_SUBSTITUTO_FERIAS</f>
        <v>8.33333333333333</v>
      </c>
      <c r="F76" s="107" t="n">
        <f aca="false">PERC_SUBSTITUTO_FERIAS%*(MOD_1_REMUNERACAO_12X36_NOT+MOD_2_ENCARGOS_BENEFICIOS_12X36_NOT+MOD_3_PROVISAO_RESCISAO_12X36_NOT)</f>
        <v>310.646840248353</v>
      </c>
      <c r="G76" s="107" t="n">
        <f aca="false">PERC_SUBSTITUTO_FERIAS%*(G32+G112+G70)</f>
        <v>266.447245500356</v>
      </c>
      <c r="H76" s="107" t="n">
        <f aca="false">PERC_SUBSTITUTO_FERIAS%*(H32+H112+H70)</f>
        <v>280.690732863772</v>
      </c>
    </row>
    <row r="77" s="7" customFormat="true" ht="15.95" hidden="false" customHeight="true" outlineLevel="0" collapsed="false">
      <c r="B77" s="22" t="s">
        <v>17</v>
      </c>
      <c r="C77" s="26" t="s">
        <v>190</v>
      </c>
      <c r="D77" s="26"/>
      <c r="E77" s="113" t="n">
        <f aca="false">PERC_SUBSTITUTO_AUSENCIAS_LEGAIS</f>
        <v>2.22222222222222</v>
      </c>
      <c r="F77" s="109" t="n">
        <f aca="false">PERC_SUBSTITUTO_AUSENCIAS_LEGAIS%*(MOD_1_REMUNERACAO_12X36_NOT+MOD_2_ENCARGOS_BENEFICIOS_12X36_NOT+MOD_3_PROVISAO_RESCISAO_12X36_NOT)</f>
        <v>82.8391573995608</v>
      </c>
      <c r="G77" s="109" t="n">
        <f aca="false">PERC_SUBSTITUTO_AUSENCIAS_LEGAIS%*(G32+G70+G112)</f>
        <v>71.0525988000949</v>
      </c>
      <c r="H77" s="109" t="n">
        <f aca="false">PERC_SUBSTITUTO_AUSENCIAS_LEGAIS%*(H32+H70+H112)</f>
        <v>74.8508620970058</v>
      </c>
    </row>
    <row r="78" s="7" customFormat="true" ht="15.95" hidden="false" customHeight="true" outlineLevel="0" collapsed="false">
      <c r="B78" s="22" t="s">
        <v>20</v>
      </c>
      <c r="C78" s="69" t="s">
        <v>192</v>
      </c>
      <c r="D78" s="69"/>
      <c r="E78" s="111" t="n">
        <f aca="false">PERC_SUBSTITUTO_LICENCA_PATERNIDADE</f>
        <v>0.0394444444444444</v>
      </c>
      <c r="F78" s="107" t="n">
        <f aca="false">PERC_SUBSTITUTO_LICENCA_PATERNIDADE%*(MOD_1_REMUNERACAO_12X36_NOT+MOD_2_ENCARGOS_BENEFICIOS_12X36_NOT+MOD_3_PROVISAO_RESCISAO_12X36_NOT)</f>
        <v>1.4703950438422</v>
      </c>
      <c r="G78" s="107" t="n">
        <f aca="false">PERC_SUBSTITUTO_LICENCA_PATERNIDADE%*(G32+G70+G112)</f>
        <v>1.26118362870168</v>
      </c>
      <c r="H78" s="107" t="n">
        <f aca="false">PERC_SUBSTITUTO_LICENCA_PATERNIDADE%*(H32+H70+H112)</f>
        <v>1.32860280222185</v>
      </c>
    </row>
    <row r="79" s="7" customFormat="true" ht="16.5" hidden="false" customHeight="true" outlineLevel="0" collapsed="false">
      <c r="B79" s="22" t="s">
        <v>23</v>
      </c>
      <c r="C79" s="26" t="s">
        <v>194</v>
      </c>
      <c r="D79" s="26"/>
      <c r="E79" s="113" t="n">
        <f aca="false">PERC_SUBSTITUTO_ACID_TRAB</f>
        <v>0.0185302229372558</v>
      </c>
      <c r="F79" s="109" t="n">
        <f aca="false">PERC_SUBSTITUTO_ACID_TRAB%*(MOD_1_REMUNERACAO_12X36_NOT+MOD_2_ENCARGOS_BENEFICIOS_12X36_NOT+MOD_3_PROVISAO_RESCISAO_12X36_NOT)</f>
        <v>0.690762624546728</v>
      </c>
      <c r="G79" s="109" t="n">
        <f aca="false">PERC_SUBSTITUTO_ACID_TRAB%*(G32+G70+G112)</f>
        <v>0.592479223216718</v>
      </c>
      <c r="H79" s="109" t="n">
        <f aca="false">PERC_SUBSTITUTO_ACID_TRAB%*(H32+H70+H112)</f>
        <v>0.624151422766488</v>
      </c>
    </row>
    <row r="80" customFormat="false" ht="16.5" hidden="false" customHeight="true" outlineLevel="0" collapsed="false">
      <c r="A80" s="7"/>
      <c r="B80" s="22" t="s">
        <v>25</v>
      </c>
      <c r="C80" s="69" t="s">
        <v>196</v>
      </c>
      <c r="D80" s="69"/>
      <c r="E80" s="111" t="n">
        <f aca="false">PERC_SUBSTITUTO_AFAST_MATERN</f>
        <v>0.13064</v>
      </c>
      <c r="F80" s="107" t="n">
        <f aca="false">PERC_SUBSTITUTO_AFAST_MATERN%*(MOD_1_REMUNERACAO_12X36_NOT+MOD_2_ENCARGOS_BENEFICIOS_12X36_NOT+MOD_3_PROVISAO_RESCISAO_12X36_NOT)</f>
        <v>4.86994838520538</v>
      </c>
      <c r="G80" s="107" t="n">
        <f aca="false">PERC_SUBSTITUTO_AFAST_MATERN%*(G32+G70+G112)</f>
        <v>4.17704017825998</v>
      </c>
      <c r="H80" s="107" t="n">
        <f aca="false">PERC_SUBSTITUTO_AFAST_MATERN%*(H32+H70+H112)</f>
        <v>4.40033248095878</v>
      </c>
    </row>
    <row r="81" customFormat="false" ht="16.4" hidden="false" customHeight="false" outlineLevel="0" collapsed="false">
      <c r="A81" s="7"/>
      <c r="B81" s="22" t="s">
        <v>60</v>
      </c>
      <c r="C81" s="149" t="str">
        <f aca="false">OUTRAS_AUSENCIAS_DESCRICAO</f>
        <v>Outras Ausências (Especificar - em %)</v>
      </c>
      <c r="D81" s="149"/>
      <c r="E81" s="150" t="n">
        <f aca="false">PERC_SUBSTITUTO_OUTRAS_AUSENCIAS</f>
        <v>0</v>
      </c>
      <c r="F81" s="109" t="n">
        <f aca="false">PERC_SUBSTITUTO_OUTRAS_AUSENCIAS%*(MOD_1_REMUNERACAO_12X36_NOT+MOD_2_ENCARGOS_BENEFICIOS_12X36_NOT+MOD_3_PROVISAO_RESCISAO_12X36_NOT)</f>
        <v>0</v>
      </c>
      <c r="G81" s="109" t="n">
        <f aca="false">PERC_SUBSTITUTO_OUTRAS_AUSENCIAS%*(G32+G70+G112)</f>
        <v>0</v>
      </c>
      <c r="H81" s="109" t="n">
        <f aca="false">PERC_SUBSTITUTO_OUTRAS_AUSENCIAS%*(H32+H70+H112)</f>
        <v>0</v>
      </c>
    </row>
    <row r="82" customFormat="false" ht="13.8" hidden="false" customHeight="false" outlineLevel="0" collapsed="false">
      <c r="A82" s="7"/>
      <c r="B82" s="70" t="s">
        <v>76</v>
      </c>
      <c r="C82" s="70"/>
      <c r="D82" s="70"/>
      <c r="E82" s="70"/>
      <c r="F82" s="145" t="n">
        <f aca="false">SUM(F76:F81)</f>
        <v>400.517103701508</v>
      </c>
      <c r="G82" s="145" t="n">
        <f aca="false">SUM(G76:G81)</f>
        <v>343.530547330629</v>
      </c>
      <c r="H82" s="145" t="n">
        <f aca="false">SUM(H76:H81)</f>
        <v>361.894681666725</v>
      </c>
    </row>
    <row r="83" customFormat="false" ht="15" hidden="false" customHeight="true" outlineLevel="0" collapsed="false">
      <c r="A83" s="7"/>
      <c r="B83" s="59" t="str">
        <f aca="false">SUBMOD_4_2</f>
        <v>Submódulo 4.2 – Indenização devida ao empregado pelo trabalho no intervalo intrajornada</v>
      </c>
      <c r="C83" s="76"/>
      <c r="D83" s="77"/>
      <c r="E83" s="78"/>
      <c r="F83" s="78"/>
    </row>
    <row r="84" customFormat="false" ht="31.3" hidden="false" customHeight="false" outlineLevel="0" collapsed="false">
      <c r="A84" s="7"/>
      <c r="B84" s="61" t="s">
        <v>104</v>
      </c>
      <c r="C84" s="70" t="s">
        <v>105</v>
      </c>
      <c r="D84" s="70"/>
      <c r="E84" s="70"/>
      <c r="F84" s="135" t="s">
        <v>207</v>
      </c>
      <c r="G84" s="136" t="s">
        <v>208</v>
      </c>
      <c r="H84" s="136" t="s">
        <v>209</v>
      </c>
    </row>
    <row r="85" customFormat="false" ht="16.4" hidden="false" customHeight="false" outlineLevel="0" collapsed="false">
      <c r="A85" s="7"/>
      <c r="B85" s="61"/>
      <c r="C85" s="70"/>
      <c r="D85" s="70"/>
      <c r="E85" s="70"/>
      <c r="F85" s="22" t="s">
        <v>111</v>
      </c>
      <c r="G85" s="22" t="s">
        <v>111</v>
      </c>
      <c r="H85" s="22" t="s">
        <v>111</v>
      </c>
    </row>
    <row r="86" customFormat="false" ht="16.5" hidden="false" customHeight="true" outlineLevel="0" collapsed="false">
      <c r="A86" s="7"/>
      <c r="B86" s="61" t="s">
        <v>15</v>
      </c>
      <c r="C86" s="69" t="s">
        <v>217</v>
      </c>
      <c r="D86" s="69"/>
      <c r="E86" s="69"/>
      <c r="F86" s="104" t="n">
        <f aca="false">((MOD_1_REMUNERACAO_12X36_NOT)/DIVISOR_DE_HORAS)*((TEMPO_INTERVALO_REFEICAO/HORA_NORMAL)+PERC_HORA_EXTRA%)*DIAS_TRABALHADOS_NO_MES_12X36</f>
        <v>213.396867779694</v>
      </c>
      <c r="G86" s="104" t="n">
        <f aca="false">((G32)/DIVISOR_DE_HORAS)*((TEMPO_INTERVALO_REFEICAO/HORA_NORMAL)+PERC_HORA_EXTRA%)*DIAS_TRABALHADOS_NO_MES_12X36</f>
        <v>178.323002711777</v>
      </c>
      <c r="H86" s="104" t="n">
        <f aca="false">((H32)/DIVISOR_DE_HORAS)*((TEMPO_INTERVALO_REFEICAO/HORA_NORMAL)+PERC_HORA_EXTRA%)*DIAS_UTEIS_TRABALHADOS_NO_MES_44HORAS</f>
        <v>259.76925</v>
      </c>
    </row>
    <row r="87" customFormat="false" ht="13.8" hidden="false" customHeight="false" outlineLevel="0" collapsed="false">
      <c r="A87" s="7"/>
      <c r="B87" s="70" t="s">
        <v>76</v>
      </c>
      <c r="C87" s="70"/>
      <c r="D87" s="70"/>
      <c r="E87" s="70"/>
      <c r="F87" s="145" t="n">
        <f aca="false">SUM(F86)</f>
        <v>213.396867779694</v>
      </c>
      <c r="G87" s="145" t="n">
        <f aca="false">SUM(G86)</f>
        <v>178.323002711777</v>
      </c>
      <c r="H87" s="145" t="n">
        <f aca="false">SUM(H86)</f>
        <v>259.76925</v>
      </c>
    </row>
    <row r="88" customFormat="false" ht="7.5" hidden="false" customHeight="true" outlineLevel="0" collapsed="false">
      <c r="B88" s="148"/>
      <c r="C88" s="103"/>
      <c r="D88" s="47"/>
      <c r="E88" s="60"/>
      <c r="F88" s="60"/>
    </row>
    <row r="89" customFormat="false" ht="16.5" hidden="false" customHeight="false" outlineLevel="0" collapsed="false">
      <c r="B89" s="59" t="s">
        <v>109</v>
      </c>
      <c r="C89" s="76"/>
      <c r="D89" s="76"/>
      <c r="E89" s="78"/>
      <c r="F89" s="78"/>
    </row>
    <row r="90" customFormat="false" ht="31.3" hidden="false" customHeight="true" outlineLevel="0" collapsed="false">
      <c r="B90" s="82" t="n">
        <v>5</v>
      </c>
      <c r="C90" s="84" t="s">
        <v>110</v>
      </c>
      <c r="D90" s="84"/>
      <c r="E90" s="84"/>
      <c r="F90" s="135" t="s">
        <v>207</v>
      </c>
      <c r="G90" s="136" t="s">
        <v>208</v>
      </c>
      <c r="H90" s="136" t="s">
        <v>209</v>
      </c>
    </row>
    <row r="91" customFormat="false" ht="15.75" hidden="false" customHeight="true" outlineLevel="0" collapsed="false">
      <c r="B91" s="82"/>
      <c r="C91" s="84"/>
      <c r="D91" s="84"/>
      <c r="E91" s="84"/>
      <c r="F91" s="84" t="s">
        <v>111</v>
      </c>
      <c r="G91" s="84" t="s">
        <v>111</v>
      </c>
      <c r="H91" s="84" t="s">
        <v>111</v>
      </c>
    </row>
    <row r="92" customFormat="false" ht="16.5" hidden="false" customHeight="true" outlineLevel="0" collapsed="false">
      <c r="B92" s="151" t="s">
        <v>15</v>
      </c>
      <c r="C92" s="152" t="s">
        <v>218</v>
      </c>
      <c r="D92" s="152"/>
      <c r="E92" s="152"/>
      <c r="F92" s="153" t="n">
        <f aca="false">VALOR_UNIFORME_POSTO</f>
        <v>72.085</v>
      </c>
      <c r="G92" s="153" t="n">
        <f aca="false">VALOR_UNIFORME_POSTO</f>
        <v>72.085</v>
      </c>
      <c r="H92" s="153" t="n">
        <f aca="false">VALOR_UNIFORME_POSTO</f>
        <v>72.085</v>
      </c>
      <c r="I92" s="140"/>
    </row>
    <row r="93" customFormat="false" ht="16.5" hidden="false" customHeight="true" outlineLevel="0" collapsed="false">
      <c r="B93" s="151" t="s">
        <v>17</v>
      </c>
      <c r="C93" s="154" t="s">
        <v>219</v>
      </c>
      <c r="D93" s="154"/>
      <c r="E93" s="154"/>
      <c r="F93" s="155"/>
      <c r="G93" s="155"/>
      <c r="H93" s="155"/>
    </row>
    <row r="94" customFormat="false" ht="16.5" hidden="false" customHeight="true" outlineLevel="0" collapsed="false">
      <c r="B94" s="151" t="s">
        <v>20</v>
      </c>
      <c r="C94" s="152" t="s">
        <v>220</v>
      </c>
      <c r="D94" s="152"/>
      <c r="E94" s="152"/>
      <c r="F94" s="153" t="n">
        <f aca="false">VALOR_EQUIP_12X36_NOT+VALOR_EQUIP_USO_COMPART_12X36</f>
        <v>24.0749520833333</v>
      </c>
      <c r="G94" s="153" t="n">
        <f aca="false">VALOR_EQUIP_12X36_DIURNO+VALOR_EQUIP_USO_COMPART_12X36</f>
        <v>18.32654375</v>
      </c>
      <c r="H94" s="153" t="n">
        <f aca="false">VALOR_EQUIP_POSTO_44_HORAS+VALOR_EQUIP_LEITOR_POSTO_44_SEDE_CG</f>
        <v>81.3924583333333</v>
      </c>
    </row>
    <row r="95" customFormat="false" ht="16.4" hidden="false" customHeight="true" outlineLevel="0" collapsed="false">
      <c r="B95" s="151" t="s">
        <v>23</v>
      </c>
      <c r="C95" s="156" t="s">
        <v>221</v>
      </c>
      <c r="D95" s="156"/>
      <c r="E95" s="156"/>
      <c r="F95" s="155"/>
      <c r="G95" s="155"/>
      <c r="H95" s="155"/>
    </row>
    <row r="96" customFormat="false" ht="16.5" hidden="false" customHeight="true" outlineLevel="0" collapsed="false">
      <c r="B96" s="83" t="s">
        <v>76</v>
      </c>
      <c r="C96" s="83"/>
      <c r="D96" s="83"/>
      <c r="E96" s="83"/>
      <c r="F96" s="157" t="n">
        <f aca="false">SUM(F92:F95)</f>
        <v>96.1599520833333</v>
      </c>
      <c r="G96" s="157" t="n">
        <f aca="false">SUM(G92:G95)</f>
        <v>90.41154375</v>
      </c>
      <c r="H96" s="157" t="n">
        <f aca="false">SUM(H92:H95)</f>
        <v>153.477458333333</v>
      </c>
    </row>
    <row r="97" customFormat="false" ht="7.5" hidden="false" customHeight="true" outlineLevel="0" collapsed="false">
      <c r="B97" s="148"/>
      <c r="C97" s="103"/>
      <c r="D97" s="47"/>
      <c r="E97" s="60"/>
      <c r="F97" s="60"/>
    </row>
    <row r="98" customFormat="false" ht="15" hidden="false" customHeight="true" outlineLevel="0" collapsed="false">
      <c r="B98" s="85" t="s">
        <v>113</v>
      </c>
      <c r="C98" s="85"/>
      <c r="D98" s="85"/>
      <c r="E98" s="85"/>
      <c r="F98" s="85"/>
    </row>
    <row r="99" customFormat="false" ht="31.3" hidden="false" customHeight="true" outlineLevel="0" collapsed="false">
      <c r="B99" s="61" t="n">
        <v>6</v>
      </c>
      <c r="C99" s="70" t="s">
        <v>114</v>
      </c>
      <c r="D99" s="70"/>
      <c r="E99" s="22" t="s">
        <v>65</v>
      </c>
      <c r="F99" s="135" t="s">
        <v>207</v>
      </c>
      <c r="G99" s="136" t="s">
        <v>208</v>
      </c>
      <c r="H99" s="136" t="s">
        <v>209</v>
      </c>
    </row>
    <row r="100" customFormat="false" ht="16.4" hidden="false" customHeight="false" outlineLevel="0" collapsed="false">
      <c r="B100" s="61"/>
      <c r="C100" s="70"/>
      <c r="D100" s="70"/>
      <c r="E100" s="22"/>
      <c r="F100" s="22" t="s">
        <v>111</v>
      </c>
      <c r="G100" s="22" t="s">
        <v>111</v>
      </c>
      <c r="H100" s="22" t="s">
        <v>111</v>
      </c>
    </row>
    <row r="101" customFormat="false" ht="16.5" hidden="false" customHeight="true" outlineLevel="0" collapsed="false">
      <c r="B101" s="61" t="s">
        <v>15</v>
      </c>
      <c r="C101" s="69" t="s">
        <v>117</v>
      </c>
      <c r="D101" s="69"/>
      <c r="E101" s="158" t="n">
        <f aca="false">PERC_CUSTOS_INDIRETOS</f>
        <v>4.85</v>
      </c>
      <c r="F101" s="107" t="n">
        <f aca="false">PERC_CUSTOS_INDIRETOS%*(MOD_1_REMUNERACAO_12X36_NOT+MOD_2_ENCARGOS_BENEFICIOS_12X36_NOT+MOD_3_PROVISAO_RESCISAO_12X36_NOT+MOD_4_CUSTO_REPOSICAO_12X36_NOT+MOD_5_INSUMOS_12X36_NOT)</f>
        <v>215.235046317421</v>
      </c>
      <c r="G101" s="107" t="n">
        <f aca="false">PERC_CUSTOS_INDIRETOS%*(G111+G112+G113+G114+G115)</f>
        <v>184.767153930139</v>
      </c>
      <c r="H101" s="107" t="n">
        <f aca="false">PERC_CUSTOS_INDIRETOS%*(H111+H112+H113+H114+H115)</f>
        <v>200.956363941718</v>
      </c>
    </row>
    <row r="102" customFormat="false" ht="15.75" hidden="false" customHeight="true" outlineLevel="0" collapsed="false">
      <c r="B102" s="22" t="s">
        <v>17</v>
      </c>
      <c r="C102" s="26" t="s">
        <v>118</v>
      </c>
      <c r="D102" s="26"/>
      <c r="E102" s="159" t="n">
        <f aca="false">PERC_LUCRO</f>
        <v>5.45</v>
      </c>
      <c r="F102" s="109" t="n">
        <f aca="false">PERC_LUCRO%*(MOD_1_REMUNERACAO_12X36_NOT+MOD_2_ENCARGOS_BENEFICIOS_12X36_NOT+MOD_3_PROVISAO_RESCISAO_12X36_NOT+MOD_4_CUSTO_REPOSICAO_12X36_NOT+MOD_5_INSUMOS_12X36_NOT+AL_6_A_CUSTOS_INDIRETOS_12X36_NOT)</f>
        <v>253.59237238099</v>
      </c>
      <c r="G102" s="109" t="n">
        <f aca="false">PERC_LUCRO%*(G111+G112+G113+G114+G115+G101)</f>
        <v>217.694756058111</v>
      </c>
      <c r="H102" s="109" t="n">
        <f aca="false">PERC_LUCRO%*(H111+H112+H113+H114+H115+H101)</f>
        <v>236.769066882734</v>
      </c>
      <c r="L102" s="1" t="s">
        <v>222</v>
      </c>
    </row>
    <row r="103" customFormat="false" ht="16.5" hidden="false" customHeight="true" outlineLevel="0" collapsed="false">
      <c r="B103" s="22" t="s">
        <v>20</v>
      </c>
      <c r="C103" s="69" t="s">
        <v>119</v>
      </c>
      <c r="D103" s="69"/>
      <c r="E103" s="158" t="n">
        <f aca="false">SUM(E104:E106)</f>
        <v>8.65</v>
      </c>
      <c r="F103" s="107" t="n">
        <f aca="false">SUM(F104:F106)</f>
        <v>464.615639062436</v>
      </c>
      <c r="G103" s="107" t="n">
        <f aca="false">SUM(G104:G106)</f>
        <v>398.846334599229</v>
      </c>
      <c r="H103" s="107" t="n">
        <f aca="false">SUM(H104:H106)</f>
        <v>433.793060442162</v>
      </c>
    </row>
    <row r="104" customFormat="false" ht="15.75" hidden="false" customHeight="true" outlineLevel="0" collapsed="false">
      <c r="B104" s="92" t="s">
        <v>120</v>
      </c>
      <c r="C104" s="160" t="s">
        <v>121</v>
      </c>
      <c r="D104" s="160"/>
      <c r="E104" s="161" t="n">
        <f aca="false">PERC_PIS</f>
        <v>0.65</v>
      </c>
      <c r="F104" s="162" t="n">
        <f aca="false">((MOD_1_REMUNERACAO_12X36_NOT+MOD_2_ENCARGOS_BENEFICIOS_12X36_NOT+MOD_3_PROVISAO_RESCISAO_12X36_NOT+MOD_4_CUSTO_REPOSICAO_12X36_NOT+MOD_5_INSUMOS_12X36_NOT+AL_6_A_CUSTOS_INDIRETOS_12X36_NOT+AL_6_B_LUCRO_12X36_NOT)*PERC_PIS%)/(1-PERC_TRIBUTOS%)</f>
        <v>34.9133139179865</v>
      </c>
      <c r="G104" s="162" t="n">
        <f aca="false">((G111+G112+G113+G114+G115+G101+G102)*PERC_PIS%)/(1-PERC_TRIBUTOS%)</f>
        <v>29.971111848497</v>
      </c>
      <c r="H104" s="162" t="n">
        <f aca="false">((H111+H112+H113+H114+H115+H101+H102)*PERC_PIS%)/(1-PERC_TRIBUTOS%)</f>
        <v>32.5971663916076</v>
      </c>
    </row>
    <row r="105" customFormat="false" ht="16.5" hidden="false" customHeight="true" outlineLevel="0" collapsed="false">
      <c r="B105" s="92" t="s">
        <v>122</v>
      </c>
      <c r="C105" s="163" t="s">
        <v>123</v>
      </c>
      <c r="D105" s="163"/>
      <c r="E105" s="164" t="n">
        <f aca="false">PERC_COFINS</f>
        <v>3</v>
      </c>
      <c r="F105" s="165" t="n">
        <f aca="false">((MOD_1_REMUNERACAO_12X36_NOT+MOD_2_ENCARGOS_BENEFICIOS_12X36_NOT+MOD_3_PROVISAO_RESCISAO_12X36_NOT+MOD_4_CUSTO_REPOSICAO_12X36_NOT+MOD_5_INSUMOS_12X36_NOT+AL_6_A_CUSTOS_INDIRETOS_12X36_NOT+AL_6_B_LUCRO_12X36_NOT)*PERC_COFINS%)/(1-PERC_TRIBUTOS%)</f>
        <v>161.138371929169</v>
      </c>
      <c r="G105" s="165" t="n">
        <f aca="false">((G111+G112+G113+G114+G115+G101+G102)*PERC_COFINS%)/(1-PERC_TRIBUTOS%)</f>
        <v>138.328208531525</v>
      </c>
      <c r="H105" s="165" t="n">
        <f aca="false">((H111+H112+H113+H114+H115+H101+H102)*PERC_COFINS%)/(1-PERC_TRIBUTOS%)</f>
        <v>150.448460268958</v>
      </c>
    </row>
    <row r="106" s="91" customFormat="true" ht="16.5" hidden="false" customHeight="true" outlineLevel="0" collapsed="false">
      <c r="B106" s="92" t="s">
        <v>124</v>
      </c>
      <c r="C106" s="160" t="s">
        <v>125</v>
      </c>
      <c r="D106" s="160"/>
      <c r="E106" s="161" t="n">
        <f aca="false">PERC_ISS</f>
        <v>5</v>
      </c>
      <c r="F106" s="162" t="n">
        <f aca="false">((MOD_1_REMUNERACAO_12X36_NOT+MOD_2_ENCARGOS_BENEFICIOS_12X36_NOT+MOD_3_PROVISAO_RESCISAO_12X36_NOT+MOD_4_CUSTO_REPOSICAO_12X36_NOT+MOD_5_INSUMOS_12X36_NOT+AL_6_A_CUSTOS_INDIRETOS_12X36_NOT+AL_6_B_LUCRO_12X36_NOT)*PERC_ISS%)/(1-PERC_TRIBUTOS%)</f>
        <v>268.563953215281</v>
      </c>
      <c r="G106" s="162" t="n">
        <f aca="false">((G111+G112+G113+G114+G115+G101+G102)*PERC_ISS%)/(1-PERC_TRIBUTOS%)</f>
        <v>230.547014219208</v>
      </c>
      <c r="H106" s="162" t="n">
        <f aca="false">((H111+H112+H113+H114+H115+H101+H102)*PERC_ISS%)/(1-PERC_TRIBUTOS%)</f>
        <v>250.747433781597</v>
      </c>
    </row>
    <row r="107" customFormat="false" ht="16.4" hidden="false" customHeight="false" outlineLevel="0" collapsed="false">
      <c r="A107" s="91"/>
      <c r="B107" s="70" t="s">
        <v>76</v>
      </c>
      <c r="C107" s="70"/>
      <c r="D107" s="70"/>
      <c r="E107" s="70"/>
      <c r="F107" s="166" t="n">
        <f aca="false">AL_6_A_CUSTOS_INDIRETOS_12X36_NOT+AL_6_B_LUCRO_12X36_NOT+AL_6_C_TRIBUTOS_12X36_NOT</f>
        <v>933.443057760847</v>
      </c>
      <c r="G107" s="166" t="n">
        <f aca="false">SUM(G101:G103)</f>
        <v>801.30824458748</v>
      </c>
      <c r="H107" s="166" t="n">
        <f aca="false">SUM(H101:H103)</f>
        <v>871.518491266614</v>
      </c>
    </row>
    <row r="108" customFormat="false" ht="17.35" hidden="false" customHeight="false" outlineLevel="0" collapsed="false">
      <c r="A108" s="91"/>
      <c r="B108" s="167" t="s">
        <v>223</v>
      </c>
      <c r="C108" s="168"/>
      <c r="D108" s="168"/>
      <c r="E108" s="168"/>
      <c r="F108" s="169"/>
    </row>
    <row r="109" customFormat="false" ht="31.5" hidden="false" customHeight="true" outlineLevel="0" collapsed="false">
      <c r="A109" s="91"/>
      <c r="B109" s="22" t="s">
        <v>224</v>
      </c>
      <c r="C109" s="62" t="s">
        <v>225</v>
      </c>
      <c r="D109" s="62"/>
      <c r="E109" s="62"/>
      <c r="F109" s="135" t="s">
        <v>207</v>
      </c>
      <c r="G109" s="136" t="s">
        <v>208</v>
      </c>
      <c r="H109" s="136" t="s">
        <v>209</v>
      </c>
    </row>
    <row r="110" s="86" customFormat="true" ht="16.5" hidden="false" customHeight="true" outlineLevel="0" collapsed="false">
      <c r="B110" s="22"/>
      <c r="C110" s="62"/>
      <c r="D110" s="62"/>
      <c r="E110" s="62"/>
      <c r="F110" s="22" t="s">
        <v>226</v>
      </c>
      <c r="G110" s="22" t="s">
        <v>226</v>
      </c>
      <c r="H110" s="22" t="s">
        <v>226</v>
      </c>
    </row>
    <row r="111" s="91" customFormat="true" ht="16.5" hidden="false" customHeight="true" outlineLevel="0" collapsed="false">
      <c r="B111" s="61" t="n">
        <v>1</v>
      </c>
      <c r="C111" s="69" t="s">
        <v>53</v>
      </c>
      <c r="D111" s="69"/>
      <c r="E111" s="69"/>
      <c r="F111" s="107" t="n">
        <f aca="false">MOD_1_REMUNERACAO_12X36_NOT</f>
        <v>2086.54715162368</v>
      </c>
      <c r="G111" s="107" t="n">
        <f aca="false">G32</f>
        <v>1743.60269318182</v>
      </c>
      <c r="H111" s="107" t="n">
        <f aca="false">H32</f>
        <v>1731.795</v>
      </c>
    </row>
    <row r="112" s="87" customFormat="true" ht="16.5" hidden="false" customHeight="true" outlineLevel="0" collapsed="false">
      <c r="B112" s="22" t="n">
        <v>2</v>
      </c>
      <c r="C112" s="26" t="s">
        <v>227</v>
      </c>
      <c r="D112" s="26"/>
      <c r="E112" s="26"/>
      <c r="F112" s="109" t="n">
        <f aca="false">MOD_2_ENCARGOS_BENEFICIOS_12X36_NOT</f>
        <v>1578.58851884431</v>
      </c>
      <c r="G112" s="109" t="n">
        <f aca="false">G39+G51+G60</f>
        <v>1400.25740045455</v>
      </c>
      <c r="H112" s="109" t="n">
        <f aca="false">H39+H51+H60</f>
        <v>1580.6029</v>
      </c>
    </row>
    <row r="113" customFormat="false" ht="16.5" hidden="false" customHeight="true" outlineLevel="0" collapsed="false">
      <c r="A113" s="87"/>
      <c r="B113" s="22" t="n">
        <v>3</v>
      </c>
      <c r="C113" s="69" t="s">
        <v>147</v>
      </c>
      <c r="D113" s="69"/>
      <c r="E113" s="69"/>
      <c r="F113" s="107" t="n">
        <f aca="false">MOD_3_PROVISAO_RESCISAO_12X36_NOT</f>
        <v>62.6264125122461</v>
      </c>
      <c r="G113" s="107" t="n">
        <f aca="false">G70</f>
        <v>53.5068523679062</v>
      </c>
      <c r="H113" s="107" t="n">
        <f aca="false">H70</f>
        <v>55.8908943652608</v>
      </c>
    </row>
    <row r="114" customFormat="false" ht="16.5" hidden="false" customHeight="true" outlineLevel="0" collapsed="false">
      <c r="A114" s="87"/>
      <c r="B114" s="22" t="n">
        <v>4</v>
      </c>
      <c r="C114" s="26" t="s">
        <v>228</v>
      </c>
      <c r="D114" s="26"/>
      <c r="E114" s="26"/>
      <c r="F114" s="109" t="n">
        <f aca="false">MOD_4_CUSTO_REPOSICAO_12X36_NOT</f>
        <v>613.913971481202</v>
      </c>
      <c r="G114" s="109" t="n">
        <f aca="false">G82+G87</f>
        <v>521.853550042406</v>
      </c>
      <c r="H114" s="109" t="n">
        <f aca="false">H82+H87</f>
        <v>621.663931666725</v>
      </c>
    </row>
    <row r="115" customFormat="false" ht="16.5" hidden="false" customHeight="true" outlineLevel="0" collapsed="false">
      <c r="A115" s="87"/>
      <c r="B115" s="22" t="n">
        <v>5</v>
      </c>
      <c r="C115" s="69" t="s">
        <v>110</v>
      </c>
      <c r="D115" s="69"/>
      <c r="E115" s="69"/>
      <c r="F115" s="107" t="n">
        <f aca="false">MOD_5_INSUMOS_12X36_NOT</f>
        <v>96.1599520833333</v>
      </c>
      <c r="G115" s="107" t="n">
        <f aca="false">G96</f>
        <v>90.41154375</v>
      </c>
      <c r="H115" s="107" t="n">
        <f aca="false">H96</f>
        <v>153.477458333333</v>
      </c>
    </row>
    <row r="116" customFormat="false" ht="16.5" hidden="false" customHeight="true" outlineLevel="0" collapsed="false">
      <c r="A116" s="87"/>
      <c r="B116" s="22" t="n">
        <v>6</v>
      </c>
      <c r="C116" s="26" t="s">
        <v>114</v>
      </c>
      <c r="D116" s="26"/>
      <c r="E116" s="26"/>
      <c r="F116" s="109" t="n">
        <f aca="false">MOD_6_CUSTOS_IND_LUCRO_TRIB_12X36_NOT</f>
        <v>933.443057760847</v>
      </c>
      <c r="G116" s="109" t="n">
        <f aca="false">G107</f>
        <v>801.30824458748</v>
      </c>
      <c r="H116" s="109" t="n">
        <f aca="false">H107</f>
        <v>871.518491266614</v>
      </c>
    </row>
    <row r="117" customFormat="false" ht="16.5" hidden="false" customHeight="true" outlineLevel="0" collapsed="false">
      <c r="B117" s="62" t="s">
        <v>229</v>
      </c>
      <c r="C117" s="62"/>
      <c r="D117" s="62"/>
      <c r="E117" s="62"/>
      <c r="F117" s="166" t="n">
        <f aca="false">SUM(F111:F116)</f>
        <v>5371.27906430562</v>
      </c>
      <c r="G117" s="166" t="n">
        <f aca="false">SUM(G111:G116)</f>
        <v>4610.94028438416</v>
      </c>
      <c r="H117" s="166" t="n">
        <f aca="false">SUM(H111:H116)</f>
        <v>5014.94867563193</v>
      </c>
    </row>
    <row r="118" customFormat="false" ht="16.5" hidden="false" customHeight="true" outlineLevel="0" collapsed="false">
      <c r="B118" s="62" t="s">
        <v>230</v>
      </c>
      <c r="C118" s="62"/>
      <c r="D118" s="62"/>
      <c r="E118" s="62"/>
      <c r="F118" s="166" t="n">
        <f aca="false">VALOR_TOTAL_EMPREGADO_12x36_NOT*EMPREG_POR_POSTO_12X36_NOT</f>
        <v>10742.5581286112</v>
      </c>
      <c r="G118" s="166" t="n">
        <f aca="false">G117*G21</f>
        <v>9221.88056876831</v>
      </c>
      <c r="H118" s="166" t="n">
        <f aca="false">H117*H21</f>
        <v>5014.94867563193</v>
      </c>
    </row>
    <row r="120" customFormat="false" ht="13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19">
    <mergeCell ref="B1:H1"/>
    <mergeCell ref="B2:D2"/>
    <mergeCell ref="F2:H2"/>
    <mergeCell ref="B3:H3"/>
    <mergeCell ref="B4:H4"/>
    <mergeCell ref="B5:C5"/>
    <mergeCell ref="D5:H5"/>
    <mergeCell ref="B6:C6"/>
    <mergeCell ref="D6:E6"/>
    <mergeCell ref="F6:H6"/>
    <mergeCell ref="B7:H7"/>
    <mergeCell ref="C8:E8"/>
    <mergeCell ref="F8:H8"/>
    <mergeCell ref="D9:H9"/>
    <mergeCell ref="C10:E10"/>
    <mergeCell ref="F10:H10"/>
    <mergeCell ref="C11:E11"/>
    <mergeCell ref="F11:H11"/>
    <mergeCell ref="C12:E12"/>
    <mergeCell ref="F12:H12"/>
    <mergeCell ref="B13:H13"/>
    <mergeCell ref="C14:D14"/>
    <mergeCell ref="E14:H14"/>
    <mergeCell ref="D15:H15"/>
    <mergeCell ref="D16:H16"/>
    <mergeCell ref="C17:E17"/>
    <mergeCell ref="F17:H17"/>
    <mergeCell ref="B18:H18"/>
    <mergeCell ref="B19:H19"/>
    <mergeCell ref="B20:E20"/>
    <mergeCell ref="B21:E21"/>
    <mergeCell ref="B23:B24"/>
    <mergeCell ref="C23:E24"/>
    <mergeCell ref="C25:E25"/>
    <mergeCell ref="C26:E26"/>
    <mergeCell ref="C27:E27"/>
    <mergeCell ref="C28:E28"/>
    <mergeCell ref="C29:E29"/>
    <mergeCell ref="C30:E30"/>
    <mergeCell ref="C31:E31"/>
    <mergeCell ref="B32:E32"/>
    <mergeCell ref="B35:B36"/>
    <mergeCell ref="C35:D36"/>
    <mergeCell ref="E35:E36"/>
    <mergeCell ref="C37:D37"/>
    <mergeCell ref="C38:D38"/>
    <mergeCell ref="B39:E39"/>
    <mergeCell ref="B40:F40"/>
    <mergeCell ref="B41:B42"/>
    <mergeCell ref="C41:D42"/>
    <mergeCell ref="E41:E42"/>
    <mergeCell ref="C43:D43"/>
    <mergeCell ref="C44:D44"/>
    <mergeCell ref="C45:D45"/>
    <mergeCell ref="C46:D46"/>
    <mergeCell ref="C47:D47"/>
    <mergeCell ref="C48:D48"/>
    <mergeCell ref="C49:D49"/>
    <mergeCell ref="C50:D50"/>
    <mergeCell ref="B51:E51"/>
    <mergeCell ref="B53:B54"/>
    <mergeCell ref="C53:E54"/>
    <mergeCell ref="C55:E55"/>
    <mergeCell ref="C56:E56"/>
    <mergeCell ref="C57:E57"/>
    <mergeCell ref="C58:E58"/>
    <mergeCell ref="C59:E59"/>
    <mergeCell ref="B60:E60"/>
    <mergeCell ref="B62:B63"/>
    <mergeCell ref="C62:D63"/>
    <mergeCell ref="E62:E63"/>
    <mergeCell ref="C64:D64"/>
    <mergeCell ref="C65:D65"/>
    <mergeCell ref="C66:D66"/>
    <mergeCell ref="C67:D67"/>
    <mergeCell ref="C68:D68"/>
    <mergeCell ref="C69:D69"/>
    <mergeCell ref="B70:E70"/>
    <mergeCell ref="B74:B75"/>
    <mergeCell ref="C74:D75"/>
    <mergeCell ref="E74:E75"/>
    <mergeCell ref="C76:D76"/>
    <mergeCell ref="C77:D77"/>
    <mergeCell ref="C78:D78"/>
    <mergeCell ref="C79:D79"/>
    <mergeCell ref="C80:D80"/>
    <mergeCell ref="C81:D81"/>
    <mergeCell ref="B82:E82"/>
    <mergeCell ref="B84:B85"/>
    <mergeCell ref="C84:E85"/>
    <mergeCell ref="C86:E86"/>
    <mergeCell ref="B87:E87"/>
    <mergeCell ref="C90:E91"/>
    <mergeCell ref="C92:E92"/>
    <mergeCell ref="C93:E93"/>
    <mergeCell ref="C94:E94"/>
    <mergeCell ref="C95:E95"/>
    <mergeCell ref="B96:E96"/>
    <mergeCell ref="B98:F98"/>
    <mergeCell ref="B99:B100"/>
    <mergeCell ref="C99:D100"/>
    <mergeCell ref="E99:E100"/>
    <mergeCell ref="C101:D101"/>
    <mergeCell ref="C102:D102"/>
    <mergeCell ref="C103:D103"/>
    <mergeCell ref="C104:D104"/>
    <mergeCell ref="C105:D105"/>
    <mergeCell ref="C106:D106"/>
    <mergeCell ref="B107:E107"/>
    <mergeCell ref="B109:B110"/>
    <mergeCell ref="C109:E110"/>
    <mergeCell ref="C111:E111"/>
    <mergeCell ref="C112:E112"/>
    <mergeCell ref="C113:E113"/>
    <mergeCell ref="C114:E114"/>
    <mergeCell ref="C115:E115"/>
    <mergeCell ref="C116:E116"/>
    <mergeCell ref="B117:E117"/>
    <mergeCell ref="B118:E118"/>
  </mergeCells>
  <printOptions headings="false" gridLines="false" gridLinesSet="true" horizontalCentered="true" verticalCentered="false"/>
  <pageMargins left="0.0798611111111111" right="0.05" top="0.196527777777778" bottom="0.157638888888889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29" activeCellId="0" sqref="F29"/>
    </sheetView>
  </sheetViews>
  <sheetFormatPr defaultRowHeight="16.5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8.86"/>
    <col collapsed="false" customWidth="true" hidden="false" outlineLevel="0" max="3" min="3" style="1" width="52.58"/>
    <col collapsed="false" customWidth="true" hidden="false" outlineLevel="0" max="4" min="4" style="1" width="7.87"/>
    <col collapsed="false" customWidth="true" hidden="false" outlineLevel="0" max="5" min="5" style="1" width="11.88"/>
    <col collapsed="false" customWidth="true" hidden="false" outlineLevel="0" max="8" min="6" style="1" width="15.31"/>
    <col collapsed="false" customWidth="true" hidden="false" outlineLevel="0" max="9" min="9" style="1" width="11.94"/>
    <col collapsed="false" customWidth="true" hidden="false" outlineLevel="0" max="1025" min="10" style="1" width="9.13"/>
  </cols>
  <sheetData>
    <row r="1" customFormat="false" ht="17.35" hidden="false" customHeight="false" outlineLevel="0" collapsed="false">
      <c r="B1" s="117" t="str">
        <f aca="false">RAMO</f>
        <v>RAMO: MINISTÉRIO PÚBLICO FEDERAL</v>
      </c>
      <c r="C1" s="117"/>
      <c r="D1" s="117"/>
      <c r="E1" s="117"/>
      <c r="F1" s="117"/>
      <c r="G1" s="117"/>
      <c r="H1" s="117"/>
    </row>
    <row r="2" customFormat="false" ht="17.35" hidden="false" customHeight="false" outlineLevel="0" collapsed="false">
      <c r="B2" s="118" t="str">
        <f aca="false">UG</f>
        <v>UNIDADE GESTORA (SIGLA): PRMS</v>
      </c>
      <c r="C2" s="118"/>
      <c r="D2" s="118"/>
      <c r="E2" s="119" t="s">
        <v>3</v>
      </c>
      <c r="F2" s="120" t="str">
        <f aca="false">DATA_DO_ORCAMENTO_ESTIMATIVO</f>
        <v>XX/XX/20XX</v>
      </c>
      <c r="G2" s="120"/>
      <c r="H2" s="120"/>
    </row>
    <row r="3" s="7" customFormat="true" ht="19.7" hidden="false" customHeight="false" outlineLevel="0" collapsed="false">
      <c r="B3" s="8" t="s">
        <v>231</v>
      </c>
      <c r="C3" s="8"/>
      <c r="D3" s="8"/>
      <c r="E3" s="8"/>
      <c r="F3" s="8"/>
      <c r="G3" s="8"/>
      <c r="H3" s="8"/>
    </row>
    <row r="4" customFormat="false" ht="15.95" hidden="false" customHeight="true" outlineLevel="0" collapsed="false">
      <c r="A4" s="7"/>
      <c r="B4" s="9" t="s">
        <v>6</v>
      </c>
      <c r="C4" s="9"/>
      <c r="D4" s="9"/>
      <c r="E4" s="9"/>
      <c r="F4" s="9"/>
      <c r="G4" s="9"/>
      <c r="H4" s="9"/>
    </row>
    <row r="5" customFormat="false" ht="15.95" hidden="false" customHeight="true" outlineLevel="0" collapsed="false">
      <c r="A5" s="7"/>
      <c r="B5" s="15" t="s">
        <v>199</v>
      </c>
      <c r="C5" s="15"/>
      <c r="D5" s="49" t="str">
        <f aca="false">NUMERO_PROCESSO</f>
        <v>1.21.000.000635/2019-40</v>
      </c>
      <c r="E5" s="49"/>
      <c r="F5" s="49"/>
      <c r="G5" s="49"/>
      <c r="H5" s="49"/>
    </row>
    <row r="6" customFormat="false" ht="15.75" hidden="false" customHeight="true" outlineLevel="0" collapsed="false">
      <c r="A6" s="7"/>
      <c r="B6" s="12" t="s">
        <v>200</v>
      </c>
      <c r="C6" s="12"/>
      <c r="D6" s="121" t="str">
        <f aca="false">MODALIDADE_DE_LICITACAO</f>
        <v>Pregão nº</v>
      </c>
      <c r="E6" s="121"/>
      <c r="F6" s="122" t="str">
        <f aca="false">NUMERO_PREGAO</f>
        <v>XX/20XX</v>
      </c>
      <c r="G6" s="122"/>
      <c r="H6" s="122"/>
    </row>
    <row r="7" s="6" customFormat="true" ht="15.75" hidden="false" customHeight="true" outlineLevel="0" collapsed="false">
      <c r="B7" s="123" t="s">
        <v>201</v>
      </c>
      <c r="C7" s="123"/>
      <c r="D7" s="123"/>
      <c r="E7" s="123"/>
      <c r="F7" s="123"/>
      <c r="G7" s="123"/>
      <c r="H7" s="123"/>
    </row>
    <row r="8" s="7" customFormat="true" ht="18" hidden="false" customHeight="true" outlineLevel="0" collapsed="false">
      <c r="B8" s="48" t="s">
        <v>15</v>
      </c>
      <c r="C8" s="15" t="s">
        <v>16</v>
      </c>
      <c r="D8" s="15"/>
      <c r="E8" s="15"/>
      <c r="F8" s="124" t="str">
        <f aca="false">DATA_APRESENTACAO_PROPOSTA</f>
        <v>XX/XX/20XX</v>
      </c>
      <c r="G8" s="124"/>
      <c r="H8" s="124"/>
    </row>
    <row r="9" customFormat="false" ht="46.4" hidden="false" customHeight="false" outlineLevel="0" collapsed="false">
      <c r="A9" s="7"/>
      <c r="B9" s="61" t="s">
        <v>17</v>
      </c>
      <c r="C9" s="23" t="s">
        <v>202</v>
      </c>
      <c r="D9" s="26" t="str">
        <f aca="false">IF(LOCAL_DE_EXECUCAO="","",LOCAL_DE_EXECUCAO)</f>
        <v>Procuradoria da República em Mato Grosso do Sul em Campo Grande e Procuradorias da República nos Municípios de Dourados, Três Lagoas, Corumbá e Naviraí</v>
      </c>
      <c r="E9" s="26"/>
      <c r="F9" s="26"/>
      <c r="G9" s="26"/>
      <c r="H9" s="26"/>
    </row>
    <row r="10" customFormat="false" ht="18.75" hidden="false" customHeight="true" outlineLevel="0" collapsed="false">
      <c r="A10" s="7"/>
      <c r="B10" s="48" t="s">
        <v>20</v>
      </c>
      <c r="C10" s="15" t="s">
        <v>24</v>
      </c>
      <c r="D10" s="15"/>
      <c r="E10" s="15"/>
      <c r="F10" s="125" t="str">
        <f aca="false">ACORDO_COLETIVO</f>
        <v>XX/20XX</v>
      </c>
      <c r="G10" s="125"/>
      <c r="H10" s="125"/>
    </row>
    <row r="11" customFormat="false" ht="15.95" hidden="false" customHeight="true" outlineLevel="0" collapsed="false">
      <c r="A11" s="7"/>
      <c r="B11" s="61" t="s">
        <v>23</v>
      </c>
      <c r="C11" s="108" t="s">
        <v>26</v>
      </c>
      <c r="D11" s="108"/>
      <c r="E11" s="108"/>
      <c r="F11" s="51" t="n">
        <f aca="false">NUMERO_MESES_EXEC_CONTRATUAL</f>
        <v>12</v>
      </c>
      <c r="G11" s="51"/>
      <c r="H11" s="51"/>
    </row>
    <row r="12" customFormat="false" ht="13.8" hidden="false" customHeight="false" outlineLevel="0" collapsed="false">
      <c r="A12" s="7"/>
      <c r="B12" s="61" t="s">
        <v>25</v>
      </c>
      <c r="C12" s="126" t="s">
        <v>203</v>
      </c>
      <c r="D12" s="126"/>
      <c r="E12" s="126"/>
      <c r="F12" s="49" t="n">
        <f aca="false">'INSERÇÃO-DE-DADOS'!F22+'INSERÇÃO-DE-DADOS'!F23+'INSERÇÃO-DE-DADOS'!F24</f>
        <v>5</v>
      </c>
      <c r="G12" s="49"/>
      <c r="H12" s="49"/>
    </row>
    <row r="13" s="127" customFormat="true" ht="21" hidden="false" customHeight="true" outlineLevel="0" collapsed="false">
      <c r="B13" s="170" t="s">
        <v>51</v>
      </c>
      <c r="C13" s="171"/>
      <c r="D13" s="171"/>
      <c r="E13" s="171"/>
      <c r="F13" s="171"/>
    </row>
    <row r="14" s="7" customFormat="true" ht="13.8" hidden="false" customHeight="false" outlineLevel="0" collapsed="false">
      <c r="B14" s="48" t="n">
        <v>1</v>
      </c>
      <c r="C14" s="15" t="s">
        <v>43</v>
      </c>
      <c r="D14" s="15"/>
      <c r="E14" s="129" t="str">
        <f aca="false">TIPO_DE_SERVICO</f>
        <v>Vigilância</v>
      </c>
      <c r="F14" s="129"/>
      <c r="G14" s="129"/>
      <c r="H14" s="129"/>
    </row>
    <row r="15" s="6" customFormat="true" ht="13.8" hidden="false" customHeight="false" outlineLevel="0" collapsed="false">
      <c r="B15" s="48" t="n">
        <v>2</v>
      </c>
      <c r="C15" s="130" t="s">
        <v>45</v>
      </c>
      <c r="D15" s="121" t="str">
        <f aca="false">CBO</f>
        <v>5173-30</v>
      </c>
      <c r="E15" s="121"/>
      <c r="F15" s="121"/>
      <c r="G15" s="121"/>
      <c r="H15" s="121"/>
    </row>
    <row r="16" s="7" customFormat="true" ht="15" hidden="false" customHeight="true" outlineLevel="0" collapsed="false">
      <c r="B16" s="48" t="n">
        <v>3</v>
      </c>
      <c r="C16" s="131" t="s">
        <v>47</v>
      </c>
      <c r="D16" s="129" t="str">
        <f aca="false">CATEGORIA_PROFISSIONAL</f>
        <v>Vigilante</v>
      </c>
      <c r="E16" s="129"/>
      <c r="F16" s="129"/>
      <c r="G16" s="129"/>
      <c r="H16" s="129"/>
    </row>
    <row r="17" customFormat="false" ht="15" hidden="false" customHeight="true" outlineLevel="0" collapsed="false">
      <c r="A17" s="7"/>
      <c r="B17" s="48" t="n">
        <v>4</v>
      </c>
      <c r="C17" s="12" t="s">
        <v>49</v>
      </c>
      <c r="D17" s="12"/>
      <c r="E17" s="12"/>
      <c r="F17" s="132" t="str">
        <f aca="false">DATA_BASE_CATEGORIA</f>
        <v>XX/XX/20XX</v>
      </c>
      <c r="G17" s="132"/>
      <c r="H17" s="132"/>
    </row>
    <row r="18" s="133" customFormat="true" ht="30" hidden="false" customHeight="true" outlineLevel="0" collapsed="false">
      <c r="B18" s="134" t="s">
        <v>232</v>
      </c>
      <c r="C18" s="134"/>
      <c r="D18" s="134"/>
      <c r="E18" s="134"/>
      <c r="F18" s="134"/>
      <c r="G18" s="134"/>
      <c r="H18" s="134"/>
    </row>
    <row r="19" customFormat="false" ht="22.35" hidden="false" customHeight="true" outlineLevel="0" collapsed="false">
      <c r="A19" s="133"/>
      <c r="B19" s="61" t="s">
        <v>205</v>
      </c>
      <c r="C19" s="61"/>
      <c r="D19" s="61"/>
      <c r="E19" s="61"/>
      <c r="F19" s="61"/>
      <c r="G19" s="61"/>
      <c r="H19" s="61"/>
    </row>
    <row r="20" customFormat="false" ht="31.3" hidden="false" customHeight="false" outlineLevel="0" collapsed="false">
      <c r="A20" s="133"/>
      <c r="B20" s="70" t="s">
        <v>206</v>
      </c>
      <c r="C20" s="70"/>
      <c r="D20" s="70"/>
      <c r="E20" s="70"/>
      <c r="F20" s="135" t="s">
        <v>207</v>
      </c>
      <c r="G20" s="136" t="s">
        <v>208</v>
      </c>
      <c r="H20" s="136" t="s">
        <v>209</v>
      </c>
    </row>
    <row r="21" customFormat="false" ht="13.8" hidden="false" customHeight="false" outlineLevel="0" collapsed="false">
      <c r="B21" s="137" t="s">
        <v>210</v>
      </c>
      <c r="C21" s="137"/>
      <c r="D21" s="137"/>
      <c r="E21" s="137"/>
      <c r="F21" s="138" t="n">
        <v>2</v>
      </c>
      <c r="G21" s="138" t="n">
        <v>2</v>
      </c>
      <c r="H21" s="138" t="n">
        <v>1</v>
      </c>
    </row>
    <row r="22" customFormat="false" ht="29.85" hidden="false" customHeight="true" outlineLevel="0" collapsed="false">
      <c r="B22" s="59" t="s">
        <v>52</v>
      </c>
      <c r="E22" s="60"/>
      <c r="F22" s="60"/>
    </row>
    <row r="23" customFormat="false" ht="29.85" hidden="false" customHeight="true" outlineLevel="0" collapsed="false">
      <c r="B23" s="61" t="n">
        <v>1</v>
      </c>
      <c r="C23" s="22" t="s">
        <v>53</v>
      </c>
      <c r="D23" s="22"/>
      <c r="E23" s="22"/>
      <c r="F23" s="135" t="s">
        <v>207</v>
      </c>
      <c r="G23" s="136" t="s">
        <v>208</v>
      </c>
      <c r="H23" s="136" t="s">
        <v>209</v>
      </c>
    </row>
    <row r="24" customFormat="false" ht="16.5" hidden="false" customHeight="true" outlineLevel="0" collapsed="false">
      <c r="B24" s="61"/>
      <c r="C24" s="22"/>
      <c r="D24" s="22"/>
      <c r="E24" s="22"/>
      <c r="F24" s="22" t="s">
        <v>111</v>
      </c>
      <c r="G24" s="22" t="s">
        <v>111</v>
      </c>
      <c r="H24" s="22" t="s">
        <v>111</v>
      </c>
    </row>
    <row r="25" customFormat="false" ht="16.5" hidden="false" customHeight="true" outlineLevel="0" collapsed="false">
      <c r="B25" s="61" t="s">
        <v>15</v>
      </c>
      <c r="C25" s="63" t="s">
        <v>211</v>
      </c>
      <c r="D25" s="63"/>
      <c r="E25" s="63"/>
      <c r="F25" s="104" t="n">
        <f aca="false">SALARIO_BASE</f>
        <v>1332.15</v>
      </c>
      <c r="G25" s="104" t="n">
        <f aca="false">'INSERÇÃO-DE-DADOS'!F44</f>
        <v>1332.15</v>
      </c>
      <c r="H25" s="104" t="n">
        <f aca="false">SALARIO_BASE</f>
        <v>1332.15</v>
      </c>
    </row>
    <row r="26" customFormat="false" ht="16.5" hidden="false" customHeight="true" outlineLevel="0" collapsed="false">
      <c r="B26" s="61" t="s">
        <v>17</v>
      </c>
      <c r="C26" s="26" t="s">
        <v>212</v>
      </c>
      <c r="D26" s="26"/>
      <c r="E26" s="26"/>
      <c r="F26" s="139" t="n">
        <f aca="false">PERC_ADIC_PERIC%*SALARIO_BASE</f>
        <v>399.645</v>
      </c>
      <c r="G26" s="139" t="n">
        <f aca="false">'INSERÇÃO-DE-DADOS'!F45%*SALARIO_BASE</f>
        <v>399.645</v>
      </c>
      <c r="H26" s="139" t="n">
        <f aca="false">PERC_ADIC_PERIC%*SALARIO_BASE</f>
        <v>399.645</v>
      </c>
    </row>
    <row r="27" customFormat="false" ht="15.75" hidden="false" customHeight="true" outlineLevel="0" collapsed="false">
      <c r="B27" s="61" t="s">
        <v>20</v>
      </c>
      <c r="C27" s="10" t="s">
        <v>213</v>
      </c>
      <c r="D27" s="10"/>
      <c r="E27" s="10"/>
      <c r="F27" s="104" t="n">
        <f aca="false">((AL_1_A_SAL_BASE_12X36_NOT+AL_1_B_ADIC_PERIC_12X36_NOT)/DIVISOR_DE_HORAS)*DIAS_NA_SEMANA*MEDIA_ANUAL_DIAS_TRABALHO_MES*PERC_ADIC_NOT%</f>
        <v>167.511807272727</v>
      </c>
      <c r="G27" s="104"/>
      <c r="H27" s="104"/>
    </row>
    <row r="28" customFormat="false" ht="15.75" hidden="false" customHeight="true" outlineLevel="0" collapsed="false">
      <c r="B28" s="61" t="s">
        <v>23</v>
      </c>
      <c r="C28" s="26" t="s">
        <v>233</v>
      </c>
      <c r="D28" s="26"/>
      <c r="E28" s="26"/>
      <c r="F28" s="139" t="n">
        <f aca="false">(F25+F26)*PERC_HORA_NOTURNA_REDUZIDA%*(1+PERC_ADIC_NOT%)</f>
        <v>173.1102282</v>
      </c>
      <c r="G28" s="139"/>
      <c r="H28" s="139"/>
    </row>
    <row r="29" customFormat="false" ht="46.25" hidden="false" customHeight="false" outlineLevel="0" collapsed="false">
      <c r="B29" s="61" t="s">
        <v>25</v>
      </c>
      <c r="C29" s="63" t="str">
        <f aca="false">OUTROS_REMUNERACAO_1_DESCRICAO</f>
        <v>Adicional Remuneração em dobro (Natal, Ano Novo e Dia do Vigilante) – Cláusula 32ª da CCT MS000170/2018 (caso o licitante use uma CCT sem o benefício, exclua-se o item ) (em % no campo de inserção)</v>
      </c>
      <c r="D29" s="63"/>
      <c r="E29" s="63"/>
      <c r="F29" s="104" t="n">
        <f aca="false">((F25+F26+F27+F28)/DIVISOR_DE_HORAS)*(HORAS_EM_DOBRO/MESES_NO_ANO)*OUTROS_REMUNERACAO_1%</f>
        <v>14.1301161509504</v>
      </c>
      <c r="G29" s="104" t="n">
        <f aca="false">((G25+G26+G27+G28)/DIVISOR_DE_HORAS)*(HORAS_EM_DOBRO/MESES_NO_ANO)*OUTROS_REMUNERACAO_1%</f>
        <v>11.8076931818182</v>
      </c>
      <c r="H29" s="104"/>
      <c r="J29" s="172"/>
    </row>
    <row r="30" customFormat="false" ht="16.4" hidden="false" customHeight="false" outlineLevel="0" collapsed="false">
      <c r="B30" s="61" t="s">
        <v>60</v>
      </c>
      <c r="C30" s="142" t="str">
        <f aca="false">OUTROS_REMUNERACAO_2_DESCRICAO</f>
        <v>Outras Remunerações 1 (Especificar)</v>
      </c>
      <c r="D30" s="142"/>
      <c r="E30" s="142"/>
      <c r="F30" s="139" t="n">
        <f aca="false">OUTROS_REMUNERACAO_2</f>
        <v>0</v>
      </c>
      <c r="G30" s="139"/>
      <c r="H30" s="139"/>
    </row>
    <row r="31" customFormat="false" ht="16.4" hidden="false" customHeight="false" outlineLevel="0" collapsed="false">
      <c r="B31" s="61" t="s">
        <v>72</v>
      </c>
      <c r="C31" s="63" t="str">
        <f aca="false">OUTROS_REMUNERACAO_3_DESCRICAO</f>
        <v>Outras Remunerações 2 (Especificar)</v>
      </c>
      <c r="D31" s="63"/>
      <c r="E31" s="63"/>
      <c r="F31" s="104" t="n">
        <f aca="false">OUTROS_REMUNERACAO_3</f>
        <v>0</v>
      </c>
      <c r="G31" s="104"/>
      <c r="H31" s="104"/>
    </row>
    <row r="32" customFormat="false" ht="16.5" hidden="false" customHeight="true" outlineLevel="0" collapsed="false">
      <c r="B32" s="62" t="s">
        <v>76</v>
      </c>
      <c r="C32" s="62"/>
      <c r="D32" s="62"/>
      <c r="E32" s="62"/>
      <c r="F32" s="144" t="n">
        <f aca="false">SUM(F25:F31)</f>
        <v>2086.54715162368</v>
      </c>
      <c r="G32" s="144" t="n">
        <f aca="false">SUM(G25:G31)</f>
        <v>1743.60269318182</v>
      </c>
      <c r="H32" s="144" t="n">
        <f aca="false">SUM(H25:H31)</f>
        <v>1731.795</v>
      </c>
    </row>
    <row r="33" customFormat="false" ht="16.5" hidden="false" customHeight="false" outlineLevel="0" collapsed="false">
      <c r="B33" s="59" t="s">
        <v>166</v>
      </c>
      <c r="E33" s="110"/>
      <c r="F33" s="110"/>
    </row>
    <row r="34" customFormat="false" ht="16.5" hidden="false" customHeight="false" outlineLevel="0" collapsed="false">
      <c r="B34" s="59" t="s">
        <v>167</v>
      </c>
      <c r="C34" s="76"/>
      <c r="D34" s="77"/>
      <c r="E34" s="78"/>
      <c r="F34" s="78"/>
    </row>
    <row r="35" customFormat="false" ht="31.3" hidden="false" customHeight="true" outlineLevel="0" collapsed="false">
      <c r="B35" s="61" t="s">
        <v>168</v>
      </c>
      <c r="C35" s="70" t="s">
        <v>169</v>
      </c>
      <c r="D35" s="70"/>
      <c r="E35" s="22" t="s">
        <v>65</v>
      </c>
      <c r="F35" s="135" t="s">
        <v>207</v>
      </c>
      <c r="G35" s="136" t="s">
        <v>208</v>
      </c>
      <c r="H35" s="136" t="s">
        <v>209</v>
      </c>
    </row>
    <row r="36" customFormat="false" ht="16.4" hidden="false" customHeight="false" outlineLevel="0" collapsed="false">
      <c r="B36" s="61"/>
      <c r="C36" s="70"/>
      <c r="D36" s="70"/>
      <c r="E36" s="22"/>
      <c r="F36" s="22" t="s">
        <v>111</v>
      </c>
      <c r="G36" s="22" t="s">
        <v>111</v>
      </c>
      <c r="H36" s="22" t="s">
        <v>111</v>
      </c>
    </row>
    <row r="37" customFormat="false" ht="16.5" hidden="false" customHeight="true" outlineLevel="0" collapsed="false">
      <c r="B37" s="61" t="s">
        <v>15</v>
      </c>
      <c r="C37" s="69" t="s">
        <v>171</v>
      </c>
      <c r="D37" s="69"/>
      <c r="E37" s="111" t="n">
        <f aca="false">PERC_DEC_TERC</f>
        <v>8.33333333333333</v>
      </c>
      <c r="F37" s="107" t="n">
        <f aca="false">PERC_DEC_TERC%*MOD_1_REMUNERACAO_12X36_NOT</f>
        <v>173.878929301973</v>
      </c>
      <c r="G37" s="107" t="n">
        <f aca="false">PERC_DEC_TERC%*G32</f>
        <v>145.300224431818</v>
      </c>
      <c r="H37" s="107" t="n">
        <f aca="false">PERC_DEC_TERC%*H32</f>
        <v>144.31625</v>
      </c>
    </row>
    <row r="38" s="103" customFormat="true" ht="16.5" hidden="false" customHeight="true" outlineLevel="0" collapsed="false">
      <c r="B38" s="22" t="s">
        <v>17</v>
      </c>
      <c r="C38" s="26" t="s">
        <v>173</v>
      </c>
      <c r="D38" s="26"/>
      <c r="E38" s="112" t="n">
        <f aca="false">PERC_ADIC_FERIAS</f>
        <v>2.77777777777778</v>
      </c>
      <c r="F38" s="109" t="n">
        <f aca="false">PERC_ADIC_FERIAS%*MOD_1_REMUNERACAO_12X36_NOT</f>
        <v>57.9596431006577</v>
      </c>
      <c r="G38" s="109" t="n">
        <f aca="false">PERC_ADIC_FERIAS%*G32</f>
        <v>48.4334081439394</v>
      </c>
      <c r="H38" s="109" t="n">
        <f aca="false">PERC_ADIC_FERIAS%*H32</f>
        <v>48.1054166666667</v>
      </c>
    </row>
    <row r="39" s="66" customFormat="true" ht="13.8" hidden="false" customHeight="false" outlineLevel="0" collapsed="false">
      <c r="B39" s="70" t="s">
        <v>76</v>
      </c>
      <c r="C39" s="70"/>
      <c r="D39" s="70"/>
      <c r="E39" s="70"/>
      <c r="F39" s="145" t="n">
        <f aca="false">SUM(F37:F38)</f>
        <v>231.838572402631</v>
      </c>
      <c r="G39" s="145" t="n">
        <f aca="false">SUM(G37:G38)</f>
        <v>193.733632575758</v>
      </c>
      <c r="H39" s="145" t="n">
        <f aca="false">SUM(H37:H38)</f>
        <v>192.421666666667</v>
      </c>
    </row>
    <row r="40" customFormat="false" ht="31.5" hidden="false" customHeight="true" outlineLevel="0" collapsed="false">
      <c r="A40" s="66"/>
      <c r="B40" s="146" t="s">
        <v>62</v>
      </c>
      <c r="C40" s="146"/>
      <c r="D40" s="146"/>
      <c r="E40" s="146"/>
      <c r="F40" s="146"/>
    </row>
    <row r="41" customFormat="false" ht="31.5" hidden="false" customHeight="true" outlineLevel="0" collapsed="false">
      <c r="A41" s="66"/>
      <c r="B41" s="61" t="s">
        <v>63</v>
      </c>
      <c r="C41" s="68" t="s">
        <v>64</v>
      </c>
      <c r="D41" s="68"/>
      <c r="E41" s="22" t="s">
        <v>65</v>
      </c>
      <c r="F41" s="135" t="s">
        <v>207</v>
      </c>
      <c r="G41" s="136" t="s">
        <v>208</v>
      </c>
      <c r="H41" s="136" t="s">
        <v>209</v>
      </c>
    </row>
    <row r="42" customFormat="false" ht="34.5" hidden="false" customHeight="true" outlineLevel="0" collapsed="false">
      <c r="A42" s="66"/>
      <c r="B42" s="61"/>
      <c r="C42" s="68"/>
      <c r="D42" s="68"/>
      <c r="E42" s="22"/>
      <c r="F42" s="22" t="s">
        <v>111</v>
      </c>
      <c r="G42" s="22" t="s">
        <v>111</v>
      </c>
      <c r="H42" s="22" t="s">
        <v>111</v>
      </c>
    </row>
    <row r="43" customFormat="false" ht="16.5" hidden="false" customHeight="true" outlineLevel="0" collapsed="false">
      <c r="B43" s="61" t="s">
        <v>15</v>
      </c>
      <c r="C43" s="69" t="s">
        <v>66</v>
      </c>
      <c r="D43" s="69"/>
      <c r="E43" s="111" t="n">
        <f aca="false">PERC_INSS</f>
        <v>20</v>
      </c>
      <c r="F43" s="107" t="n">
        <f aca="false">PERC_INSS%*(MOD_1_REMUNERACAO_12X36_NOT+SUBMOD_2_1_DEC_TERC_ADIC_FERIAS_12X36_NOT)</f>
        <v>463.677144805262</v>
      </c>
      <c r="G43" s="107" t="n">
        <f aca="false">PERC_INSS%*(G32+G39)</f>
        <v>387.467265151515</v>
      </c>
      <c r="H43" s="107" t="n">
        <f aca="false">PERC_INSS%*(H32+H39)</f>
        <v>384.843333333333</v>
      </c>
    </row>
    <row r="44" s="7" customFormat="true" ht="16.5" hidden="false" customHeight="true" outlineLevel="0" collapsed="false">
      <c r="B44" s="22" t="s">
        <v>17</v>
      </c>
      <c r="C44" s="26" t="s">
        <v>67</v>
      </c>
      <c r="D44" s="26"/>
      <c r="E44" s="113" t="n">
        <f aca="false">PERC_SAL_EDUCACAO</f>
        <v>2.5</v>
      </c>
      <c r="F44" s="109" t="n">
        <f aca="false">PERC_SAL_EDUCACAO%*(MOD_1_REMUNERACAO_12X36_NOT+SUBMOD_2_1_DEC_TERC_ADIC_FERIAS_12X36_NOT)</f>
        <v>57.9596431006577</v>
      </c>
      <c r="G44" s="109" t="n">
        <f aca="false">PERC_SAL_EDUCACAO%*(G32+G39)</f>
        <v>48.4334081439394</v>
      </c>
      <c r="H44" s="109" t="n">
        <f aca="false">PERC_SAL_EDUCACAO%*(H32+H39)</f>
        <v>48.1054166666667</v>
      </c>
    </row>
    <row r="45" customFormat="false" ht="16.5" hidden="false" customHeight="true" outlineLevel="0" collapsed="false">
      <c r="A45" s="7"/>
      <c r="B45" s="22" t="s">
        <v>20</v>
      </c>
      <c r="C45" s="69" t="s">
        <v>175</v>
      </c>
      <c r="D45" s="69"/>
      <c r="E45" s="111" t="n">
        <f aca="false">PERC_RAT</f>
        <v>3</v>
      </c>
      <c r="F45" s="107" t="n">
        <f aca="false">PERC_RAT%*(MOD_1_REMUNERACAO_12X36_NOT+SUBMOD_2_1_DEC_TERC_ADIC_FERIAS_12X36_NOT)</f>
        <v>69.5515717207892</v>
      </c>
      <c r="G45" s="107" t="n">
        <f aca="false">PERC_RAT%*(G32+G39)</f>
        <v>58.1200897727273</v>
      </c>
      <c r="H45" s="107" t="n">
        <f aca="false">PERC_RAT%*(H32+H39)</f>
        <v>57.7265</v>
      </c>
    </row>
    <row r="46" customFormat="false" ht="16.5" hidden="false" customHeight="true" outlineLevel="0" collapsed="false">
      <c r="A46" s="7"/>
      <c r="B46" s="22" t="s">
        <v>23</v>
      </c>
      <c r="C46" s="26" t="s">
        <v>69</v>
      </c>
      <c r="D46" s="26"/>
      <c r="E46" s="112" t="n">
        <f aca="false">PERC_SESC</f>
        <v>1.5</v>
      </c>
      <c r="F46" s="109" t="n">
        <f aca="false">PERC_SESC%*(MOD_1_REMUNERACAO_12X36_NOT+SUBMOD_2_1_DEC_TERC_ADIC_FERIAS_12X36_NOT)</f>
        <v>34.7757858603946</v>
      </c>
      <c r="G46" s="109" t="n">
        <f aca="false">PERC_SESC%*(G32+G39)</f>
        <v>29.0600448863636</v>
      </c>
      <c r="H46" s="109" t="n">
        <f aca="false">PERC_SESC%*(H32+H39)</f>
        <v>28.86325</v>
      </c>
    </row>
    <row r="47" customFormat="false" ht="16.5" hidden="false" customHeight="true" outlineLevel="0" collapsed="false">
      <c r="A47" s="7"/>
      <c r="B47" s="22" t="s">
        <v>25</v>
      </c>
      <c r="C47" s="69" t="s">
        <v>70</v>
      </c>
      <c r="D47" s="69"/>
      <c r="E47" s="111" t="n">
        <f aca="false">PERC_SENAC</f>
        <v>1</v>
      </c>
      <c r="F47" s="107" t="n">
        <f aca="false">PERC_SENAC%*(MOD_1_REMUNERACAO_12X36_NOT+SUBMOD_2_1_DEC_TERC_ADIC_FERIAS_12X36_NOT)</f>
        <v>23.1838572402631</v>
      </c>
      <c r="G47" s="107" t="n">
        <f aca="false">PERC_SENAC%*(G32+G39)</f>
        <v>19.3733632575758</v>
      </c>
      <c r="H47" s="107" t="n">
        <f aca="false">PERC_SENAC%*(H32+H39)</f>
        <v>19.2421666666667</v>
      </c>
    </row>
    <row r="48" s="6" customFormat="true" ht="16.5" hidden="false" customHeight="true" outlineLevel="0" collapsed="false">
      <c r="B48" s="22" t="s">
        <v>60</v>
      </c>
      <c r="C48" s="26" t="s">
        <v>71</v>
      </c>
      <c r="D48" s="26"/>
      <c r="E48" s="113" t="n">
        <f aca="false">PERC_SEBRAE</f>
        <v>0.6</v>
      </c>
      <c r="F48" s="109" t="n">
        <f aca="false">PERC_SEBRAE%*(MOD_1_REMUNERACAO_12X36_NOT+SUBMOD_2_1_DEC_TERC_ADIC_FERIAS_12X36_NOT)</f>
        <v>13.9103143441579</v>
      </c>
      <c r="G48" s="109" t="n">
        <f aca="false">PERC_SEBRAE%*(G32+G39)</f>
        <v>11.6240179545455</v>
      </c>
      <c r="H48" s="109" t="n">
        <f aca="false">PERC_SEBRAE%*(H32+H39)</f>
        <v>11.5453</v>
      </c>
    </row>
    <row r="49" customFormat="false" ht="16.5" hidden="false" customHeight="true" outlineLevel="0" collapsed="false">
      <c r="A49" s="6"/>
      <c r="B49" s="22" t="s">
        <v>72</v>
      </c>
      <c r="C49" s="69" t="s">
        <v>73</v>
      </c>
      <c r="D49" s="69"/>
      <c r="E49" s="111" t="n">
        <f aca="false">PERC_INCRA</f>
        <v>0.2</v>
      </c>
      <c r="F49" s="107" t="n">
        <f aca="false">PERC_INCRA%*(MOD_1_REMUNERACAO_12X36_NOT+SUBMOD_2_1_DEC_TERC_ADIC_FERIAS_12X36_NOT)</f>
        <v>4.63677144805262</v>
      </c>
      <c r="G49" s="107" t="n">
        <f aca="false">PERC_INCRA%*(G32+G39)</f>
        <v>3.87467265151515</v>
      </c>
      <c r="H49" s="107" t="n">
        <f aca="false">PERC_INCRA%*(H32+H39)</f>
        <v>3.84843333333333</v>
      </c>
    </row>
    <row r="50" customFormat="false" ht="16.5" hidden="false" customHeight="true" outlineLevel="0" collapsed="false">
      <c r="B50" s="22" t="s">
        <v>74</v>
      </c>
      <c r="C50" s="26" t="s">
        <v>75</v>
      </c>
      <c r="D50" s="26"/>
      <c r="E50" s="113" t="n">
        <f aca="false">PERC_FGTS</f>
        <v>8</v>
      </c>
      <c r="F50" s="109" t="n">
        <f aca="false">PERC_FGTS%*(MOD_1_REMUNERACAO_12X36_NOT+SUBMOD_2_1_DEC_TERC_ADIC_FERIAS_12X36_NOT)</f>
        <v>185.470857922105</v>
      </c>
      <c r="G50" s="109" t="n">
        <f aca="false">PERC_FGTS%*(G32+G39)</f>
        <v>154.986906060606</v>
      </c>
      <c r="H50" s="109" t="n">
        <f aca="false">PERC_FGTS%*(H32+H39)</f>
        <v>153.937333333333</v>
      </c>
    </row>
    <row r="51" customFormat="false" ht="13.8" hidden="false" customHeight="false" outlineLevel="0" collapsed="false">
      <c r="B51" s="70" t="s">
        <v>76</v>
      </c>
      <c r="C51" s="70"/>
      <c r="D51" s="70"/>
      <c r="E51" s="70"/>
      <c r="F51" s="147" t="n">
        <f aca="false">SUM(F43:F50)</f>
        <v>853.165946441681</v>
      </c>
      <c r="G51" s="147" t="n">
        <f aca="false">SUM(G43:G50)</f>
        <v>712.939767878788</v>
      </c>
      <c r="H51" s="147" t="n">
        <f aca="false">SUM(H43:H50)</f>
        <v>708.111733333333</v>
      </c>
    </row>
    <row r="52" customFormat="false" ht="15.75" hidden="false" customHeight="true" outlineLevel="0" collapsed="false">
      <c r="B52" s="59" t="s">
        <v>77</v>
      </c>
      <c r="C52" s="6"/>
      <c r="D52" s="6"/>
      <c r="E52" s="6"/>
      <c r="F52" s="6"/>
    </row>
    <row r="53" customFormat="false" ht="31.3" hidden="false" customHeight="true" outlineLevel="0" collapsed="false">
      <c r="B53" s="61" t="s">
        <v>78</v>
      </c>
      <c r="C53" s="62" t="s">
        <v>79</v>
      </c>
      <c r="D53" s="62"/>
      <c r="E53" s="62"/>
      <c r="F53" s="135" t="s">
        <v>207</v>
      </c>
      <c r="G53" s="136" t="s">
        <v>208</v>
      </c>
      <c r="H53" s="136" t="s">
        <v>209</v>
      </c>
    </row>
    <row r="54" customFormat="false" ht="15.75" hidden="false" customHeight="true" outlineLevel="0" collapsed="false">
      <c r="B54" s="61"/>
      <c r="C54" s="62"/>
      <c r="D54" s="62"/>
      <c r="E54" s="62"/>
      <c r="F54" s="22" t="s">
        <v>111</v>
      </c>
      <c r="G54" s="22" t="s">
        <v>111</v>
      </c>
      <c r="H54" s="22" t="s">
        <v>111</v>
      </c>
    </row>
    <row r="55" customFormat="false" ht="16.5" hidden="false" customHeight="true" outlineLevel="0" collapsed="false">
      <c r="B55" s="48" t="s">
        <v>15</v>
      </c>
      <c r="C55" s="69" t="s">
        <v>82</v>
      </c>
      <c r="D55" s="69"/>
      <c r="E55" s="69"/>
      <c r="F55" s="107" t="n">
        <f aca="false">IF(((TARIFA_DOURADOS*DIAS_TRABALHADOS_NO_MES_12X36)-(PERC_DESC_TRANSP_REMUNERACAO%*(AL_1_A_SAL_BASE_12X36_NOT/2)))&gt;0,((TARIFA_DOURADOS*DIAS_TRABALHADOS_NO_MES_12X36)-(PERC_DESC_TRANSP_REMUNERACAO%*(AL_1_A_SAL_BASE_12X36_NOT/2))),0)</f>
        <v>65.0355</v>
      </c>
      <c r="G55" s="107" t="n">
        <f aca="false">IF(((TARIFA_DOURADOS*DIAS_TRABALHADOS_NO_MES_12X36)-(PERC_DESC_TRANSP_REMUNERACAO%*(G25/2)))&gt;0,((TARIFA_DOURADOS*DIAS_TRABALHADOS_NO_MES_12X36)-(PERC_DESC_TRANSP_REMUNERACAO%*(G25/2))),0)</f>
        <v>65.0355</v>
      </c>
      <c r="H55" s="107" t="n">
        <f aca="false">IF(((TARIFA_DOURADOS*DIAS_UTEIS_TRABALHADOS_NO_MES_44HORAS)-(PERC_DESC_TRANSP_REMUNERACAO%*(SALARIO_BASE)))&gt;0,((TARIFA_DOURADOS*DIAS_UTEIS_TRABALHADOS_NO_MES_44HORAS)-(PERC_DESC_TRANSP_REMUNERACAO%*(SALARIO_BASE))),0)</f>
        <v>74.071</v>
      </c>
    </row>
    <row r="56" s="66" customFormat="true" ht="16.5" hidden="false" customHeight="true" outlineLevel="0" collapsed="false">
      <c r="B56" s="48" t="s">
        <v>17</v>
      </c>
      <c r="C56" s="26" t="s">
        <v>93</v>
      </c>
      <c r="D56" s="26"/>
      <c r="E56" s="26"/>
      <c r="F56" s="109" t="n">
        <f aca="false">(ALIMENTACAO_POR_DIA*DIAS_TRABALHADOS_NO_MES_12X36)-(SALARIO_BASE*PERC_DESC_ALIMENTACAO%)</f>
        <v>348.9285</v>
      </c>
      <c r="G56" s="109" t="n">
        <f aca="false">(ALIMENTACAO_POR_DIA*DIAS_TRABALHADOS_NO_MES_12X36)-(SALARIO_BASE*PERC_DESC_ALIMENTACAO%)</f>
        <v>348.9285</v>
      </c>
      <c r="H56" s="109" t="n">
        <f aca="false">(ALIMENTACAO_POR_DIA*DIAS_UTEIS_TRABALHADOS_NO_MES_44HORAS)-(SALARIO_BASE*PERC_DESC_ALIMENTACAO%)</f>
        <v>517.9785</v>
      </c>
    </row>
    <row r="57" s="66" customFormat="true" ht="16.4" hidden="false" customHeight="false" outlineLevel="0" collapsed="false">
      <c r="B57" s="48" t="s">
        <v>20</v>
      </c>
      <c r="C57" s="63" t="str">
        <f aca="false">OUTROS_BENEFICIOS_1_DESCRICAO</f>
        <v>Seguro de vida em grupo</v>
      </c>
      <c r="D57" s="63"/>
      <c r="E57" s="63"/>
      <c r="F57" s="107" t="n">
        <f aca="false">OUTROS_BENEFICIOS_1</f>
        <v>11.83</v>
      </c>
      <c r="G57" s="107" t="n">
        <f aca="false">OUTROS_BENEFICIOS_1</f>
        <v>11.83</v>
      </c>
      <c r="H57" s="107" t="n">
        <f aca="false">OUTROS_BENEFICIOS_1</f>
        <v>11.83</v>
      </c>
    </row>
    <row r="58" customFormat="false" ht="16.4" hidden="false" customHeight="false" outlineLevel="0" collapsed="false">
      <c r="A58" s="66"/>
      <c r="B58" s="48" t="s">
        <v>23</v>
      </c>
      <c r="C58" s="142" t="str">
        <f aca="false">OUTROS_BENEFICIOS_2_DESCRICAO</f>
        <v>Programa Familiar Assistencial e de Saúde</v>
      </c>
      <c r="D58" s="142"/>
      <c r="E58" s="142"/>
      <c r="F58" s="109" t="n">
        <f aca="false">OUTROS_BENEFICIOS_2</f>
        <v>49.79</v>
      </c>
      <c r="G58" s="109" t="n">
        <f aca="false">OUTROS_BENEFICIOS_2</f>
        <v>49.79</v>
      </c>
      <c r="H58" s="109" t="n">
        <f aca="false">OUTROS_BENEFICIOS_2</f>
        <v>49.79</v>
      </c>
    </row>
    <row r="59" customFormat="false" ht="16.4" hidden="false" customHeight="false" outlineLevel="0" collapsed="false">
      <c r="A59" s="66"/>
      <c r="B59" s="48" t="s">
        <v>25</v>
      </c>
      <c r="C59" s="63" t="str">
        <f aca="false">OUTROS_BENEFICIOS_3_DESCRICAO</f>
        <v>Outros Benefícios 1 (Especificar)</v>
      </c>
      <c r="D59" s="63"/>
      <c r="E59" s="63"/>
      <c r="F59" s="107" t="n">
        <f aca="false">OUTROS_BENEFICIOS_3</f>
        <v>0</v>
      </c>
      <c r="G59" s="107" t="n">
        <f aca="false">OUTROS_BENEFICIOS_3</f>
        <v>0</v>
      </c>
      <c r="H59" s="107" t="n">
        <f aca="false">OUTROS_BENEFICIOS_3</f>
        <v>0</v>
      </c>
    </row>
    <row r="60" customFormat="false" ht="15" hidden="false" customHeight="true" outlineLevel="0" collapsed="false">
      <c r="A60" s="66"/>
      <c r="B60" s="62" t="s">
        <v>76</v>
      </c>
      <c r="C60" s="62"/>
      <c r="D60" s="62"/>
      <c r="E60" s="62"/>
      <c r="F60" s="144" t="n">
        <f aca="false">SUM(F55:F59)</f>
        <v>475.584</v>
      </c>
      <c r="G60" s="144" t="n">
        <f aca="false">SUM(G55:G59)</f>
        <v>475.584</v>
      </c>
      <c r="H60" s="144" t="n">
        <f aca="false">SUM(H55:H59)</f>
        <v>653.6695</v>
      </c>
    </row>
    <row r="61" customFormat="false" ht="16.5" hidden="false" customHeight="false" outlineLevel="0" collapsed="false">
      <c r="A61" s="66"/>
      <c r="B61" s="59" t="s">
        <v>146</v>
      </c>
      <c r="C61" s="76"/>
      <c r="D61" s="77"/>
      <c r="E61" s="78"/>
      <c r="F61" s="78"/>
    </row>
    <row r="62" customFormat="false" ht="31.3" hidden="false" customHeight="true" outlineLevel="0" collapsed="false">
      <c r="A62" s="66"/>
      <c r="B62" s="61" t="n">
        <v>3</v>
      </c>
      <c r="C62" s="70" t="s">
        <v>147</v>
      </c>
      <c r="D62" s="70"/>
      <c r="E62" s="22" t="s">
        <v>65</v>
      </c>
      <c r="F62" s="135" t="s">
        <v>207</v>
      </c>
      <c r="G62" s="136" t="s">
        <v>208</v>
      </c>
      <c r="H62" s="136" t="s">
        <v>209</v>
      </c>
    </row>
    <row r="63" customFormat="false" ht="15" hidden="false" customHeight="true" outlineLevel="0" collapsed="false">
      <c r="A63" s="66"/>
      <c r="B63" s="61"/>
      <c r="C63" s="70"/>
      <c r="D63" s="70"/>
      <c r="E63" s="22"/>
      <c r="F63" s="22" t="s">
        <v>111</v>
      </c>
      <c r="G63" s="22" t="s">
        <v>111</v>
      </c>
      <c r="H63" s="22" t="s">
        <v>111</v>
      </c>
    </row>
    <row r="64" customFormat="false" ht="16.4" hidden="false" customHeight="false" outlineLevel="0" collapsed="false">
      <c r="A64" s="66"/>
      <c r="B64" s="61" t="s">
        <v>15</v>
      </c>
      <c r="C64" s="114" t="s">
        <v>176</v>
      </c>
      <c r="D64" s="114"/>
      <c r="E64" s="111" t="n">
        <f aca="false">PERC_AVISO_PREVIO_IND</f>
        <v>0.29105125</v>
      </c>
      <c r="F64" s="107" t="n">
        <f aca="false">PERC_AVISO_PREVIO_IND%*(MOD_1_REMUNERACAO_12X36_NOT+SUBMOD_2_1_DEC_TERC_ADIC_FERIAS_12X36_NOT+AL_2_2_FGTS_12X36_NOT+SUBMOD_2_3_BENEFICIOS_12X36_NOT)</f>
        <v>8.67169905676814</v>
      </c>
      <c r="G64" s="107" t="n">
        <f aca="false">PERC_AVISO_PREVIO_IND%*(G32+G39+G50+G60)</f>
        <v>7.47392609704722</v>
      </c>
      <c r="H64" s="107" t="n">
        <f aca="false">PERC_AVISO_PREVIO_IND%*(H32+H39+H50+H60)</f>
        <v>7.95100644454375</v>
      </c>
    </row>
    <row r="65" customFormat="false" ht="16.4" hidden="false" customHeight="false" outlineLevel="0" collapsed="false">
      <c r="A65" s="66"/>
      <c r="B65" s="22" t="s">
        <v>17</v>
      </c>
      <c r="C65" s="115" t="s">
        <v>178</v>
      </c>
      <c r="D65" s="115"/>
      <c r="E65" s="113" t="n">
        <f aca="false">PERC_FGTS_AVISO_PREV_IND</f>
        <v>0.0232841</v>
      </c>
      <c r="F65" s="109" t="n">
        <f aca="false">PERC_FGTS_AVISO_PREV_IND%*(MOD_1_REMUNERACAO_12X36_NOT+SUBMOD_2_1_DEC_TERC_ADIC_FERIAS_12X36_NOT)</f>
        <v>0.53981525036801</v>
      </c>
      <c r="G65" s="109" t="n">
        <f aca="false">PERC_FGTS_AVISO_PREV_IND%*(G32+G39)</f>
        <v>0.45109132742572</v>
      </c>
      <c r="H65" s="109" t="n">
        <f aca="false">PERC_FGTS_AVISO_PREV_IND%*(H32+H39)</f>
        <v>0.448036532883333</v>
      </c>
    </row>
    <row r="66" s="7" customFormat="true" ht="34.5" hidden="false" customHeight="true" outlineLevel="0" collapsed="false">
      <c r="B66" s="22" t="s">
        <v>20</v>
      </c>
      <c r="C66" s="114" t="s">
        <v>215</v>
      </c>
      <c r="D66" s="114"/>
      <c r="E66" s="111" t="n">
        <f aca="false">PERC_MULTA_FGTS_AV_PREV_IND</f>
        <v>0.00931364</v>
      </c>
      <c r="F66" s="107" t="n">
        <f aca="false">PERC_MULTA_FGTS_AV_PREV_IND%*(MOD_1_REMUNERACAO_12X36_NOT+SUBMOD_2_1_DEC_TERC_ADIC_FERIAS_12X36_NOT)</f>
        <v>0.215926100147204</v>
      </c>
      <c r="G66" s="107" t="n">
        <f aca="false">PERC_MULTA_FGTS_AV_PREV_IND%*(G32+G39)</f>
        <v>0.180436530970288</v>
      </c>
      <c r="H66" s="107" t="n">
        <f aca="false">PERC_MULTA_FGTS_AV_PREV_IND%*(H32+H39)</f>
        <v>0.179214613153333</v>
      </c>
    </row>
    <row r="67" s="66" customFormat="true" ht="16.4" hidden="false" customHeight="false" outlineLevel="0" collapsed="false">
      <c r="B67" s="22" t="s">
        <v>23</v>
      </c>
      <c r="C67" s="115" t="s">
        <v>182</v>
      </c>
      <c r="D67" s="115"/>
      <c r="E67" s="113" t="n">
        <f aca="false">PERC_AVISO_PREVIO_TRAB</f>
        <v>1.15572693055556</v>
      </c>
      <c r="F67" s="109" t="n">
        <f aca="false">PERC_AVISO_PREVIO_TRAB%*(MOD_1_REMUNERACAO_12X36_NOT+SUBMOD_2_1_DEC_TERC_ADIC_FERIAS_12X36_NOT+SUBMOD_2_2_GPS_FGTS_12X36_NOT+SUBMOD_2_3_BENEFICIOS_12X36_NOT)</f>
        <v>42.1509291374967</v>
      </c>
      <c r="G67" s="109" t="n">
        <f aca="false">PERC_AVISO_PREVIO_TRAB%*(G32+G39+G51+G60)</f>
        <v>36.1264069136447</v>
      </c>
      <c r="H67" s="109" t="n">
        <f aca="false">PERC_AVISO_PREVIO_TRAB%*(H32+H39+H51+H60)</f>
        <v>37.9771626677902</v>
      </c>
    </row>
    <row r="68" s="7" customFormat="true" ht="35.25" hidden="false" customHeight="true" outlineLevel="0" collapsed="false">
      <c r="B68" s="22" t="s">
        <v>25</v>
      </c>
      <c r="C68" s="114" t="s">
        <v>184</v>
      </c>
      <c r="D68" s="114"/>
      <c r="E68" s="111" t="n">
        <f aca="false">PERC_GPS_FGTS_AVISO_PREVIO_TRAB</f>
        <v>0.425307510444444</v>
      </c>
      <c r="F68" s="107" t="n">
        <f aca="false">PERC_GPS_FGTS_AVISO_PREVIO_TRAB%*(MOD_1_REMUNERACAO_12X36_NOT+SUBMOD_2_1_DEC_TERC_ADIC_FERIAS_12X36_NOT)</f>
        <v>9.8602686053557</v>
      </c>
      <c r="G68" s="107" t="n">
        <f aca="false">PERC_GPS_FGTS_AVISO_PREVIO_TRAB%*(G32+G39)</f>
        <v>8.23963689601542</v>
      </c>
      <c r="H68" s="107" t="n">
        <f aca="false">PERC_GPS_FGTS_AVISO_PREVIO_TRAB%*(H32+H39)</f>
        <v>8.18383800055707</v>
      </c>
    </row>
    <row r="69" customFormat="false" ht="32.25" hidden="false" customHeight="true" outlineLevel="0" collapsed="false">
      <c r="A69" s="7"/>
      <c r="B69" s="22" t="s">
        <v>60</v>
      </c>
      <c r="C69" s="115" t="s">
        <v>216</v>
      </c>
      <c r="D69" s="115"/>
      <c r="E69" s="113" t="n">
        <f aca="false">PERC_MULTA_FGTS_AV_PREV_TRAB</f>
        <v>0.04</v>
      </c>
      <c r="F69" s="109" t="n">
        <f aca="false">PERC_MULTA_FGTS_AV_PREV_TRAB%*(MOD_1_REMUNERACAO_12X36_NOT+SUBMOD_2_1_DEC_TERC_ADIC_FERIAS_12X36_NOT)</f>
        <v>0.927354289610523</v>
      </c>
      <c r="G69" s="109" t="n">
        <f aca="false">PERC_MULTA_FGTS_AV_PREV_TRAB%*(G32+G39)</f>
        <v>0.77493453030303</v>
      </c>
      <c r="H69" s="109" t="n">
        <f aca="false">PERC_MULTA_FGTS_AV_PREV_TRAB%*(H32+H39)</f>
        <v>0.769686666666667</v>
      </c>
    </row>
    <row r="70" customFormat="false" ht="13.8" hidden="false" customHeight="false" outlineLevel="0" collapsed="false">
      <c r="A70" s="7"/>
      <c r="B70" s="70" t="s">
        <v>76</v>
      </c>
      <c r="C70" s="70"/>
      <c r="D70" s="70"/>
      <c r="E70" s="70"/>
      <c r="F70" s="145" t="n">
        <f aca="false">SUM(F64:F69)</f>
        <v>62.3659924397462</v>
      </c>
      <c r="G70" s="145" t="n">
        <f aca="false">SUM(G64:G69)</f>
        <v>53.2464322954064</v>
      </c>
      <c r="H70" s="145" t="n">
        <f aca="false">SUM(H64:H69)</f>
        <v>55.5089449255943</v>
      </c>
    </row>
    <row r="71" customFormat="false" ht="7.5" hidden="false" customHeight="true" outlineLevel="0" collapsed="false">
      <c r="B71" s="148"/>
      <c r="C71" s="103"/>
      <c r="D71" s="47"/>
      <c r="E71" s="60"/>
      <c r="F71" s="60"/>
    </row>
    <row r="72" s="7" customFormat="true" ht="15.95" hidden="false" customHeight="true" outlineLevel="0" collapsed="false">
      <c r="B72" s="59" t="str">
        <f aca="false">'INSERÇÃO-DE-DADOS'!B75</f>
        <v>MÓDULO 4: CUSTO DE REPOSIÇÃO DO PROFISSIONAL AUSENTE/INTRAJORNADA</v>
      </c>
      <c r="C72" s="76"/>
      <c r="D72" s="77"/>
      <c r="E72" s="1"/>
      <c r="F72" s="1"/>
    </row>
    <row r="73" s="7" customFormat="true" ht="15.95" hidden="false" customHeight="true" outlineLevel="0" collapsed="false">
      <c r="B73" s="59" t="s">
        <v>99</v>
      </c>
      <c r="C73" s="76"/>
      <c r="D73" s="77"/>
      <c r="E73" s="78"/>
      <c r="F73" s="78"/>
    </row>
    <row r="74" s="7" customFormat="true" ht="31.3" hidden="false" customHeight="true" outlineLevel="0" collapsed="false">
      <c r="B74" s="61" t="s">
        <v>100</v>
      </c>
      <c r="C74" s="62" t="s">
        <v>101</v>
      </c>
      <c r="D74" s="62"/>
      <c r="E74" s="22" t="s">
        <v>65</v>
      </c>
      <c r="F74" s="135" t="s">
        <v>207</v>
      </c>
      <c r="G74" s="136" t="s">
        <v>208</v>
      </c>
      <c r="H74" s="136" t="s">
        <v>209</v>
      </c>
    </row>
    <row r="75" s="7" customFormat="true" ht="16.5" hidden="false" customHeight="true" outlineLevel="0" collapsed="false">
      <c r="B75" s="61"/>
      <c r="C75" s="62"/>
      <c r="D75" s="62"/>
      <c r="E75" s="22"/>
      <c r="F75" s="22" t="s">
        <v>111</v>
      </c>
      <c r="G75" s="22" t="s">
        <v>111</v>
      </c>
      <c r="H75" s="22" t="s">
        <v>111</v>
      </c>
    </row>
    <row r="76" s="7" customFormat="true" ht="15.95" hidden="false" customHeight="true" outlineLevel="0" collapsed="false">
      <c r="B76" s="22" t="s">
        <v>15</v>
      </c>
      <c r="C76" s="69" t="s">
        <v>188</v>
      </c>
      <c r="D76" s="69"/>
      <c r="E76" s="111" t="n">
        <f aca="false">PERC_SUBSTITUTO_FERIAS</f>
        <v>8.33333333333333</v>
      </c>
      <c r="F76" s="107" t="n">
        <f aca="false">PERC_SUBSTITUTO_FERIAS%*(MOD_1_REMUNERACAO_12X36_NOT+MOD_2_ENCARGOS_BENEFICIOS_12X36_NOT+MOD_3_PROVISAO_RESCISAO_12X36_NOT)</f>
        <v>309.125138575645</v>
      </c>
      <c r="G76" s="107" t="n">
        <f aca="false">PERC_SUBSTITUTO_FERIAS%*(G32+G112+G70)</f>
        <v>264.925543827648</v>
      </c>
      <c r="H76" s="107" t="n">
        <f aca="false">PERC_SUBSTITUTO_FERIAS%*(H32+H112+H70)</f>
        <v>278.458903743799</v>
      </c>
    </row>
    <row r="77" s="7" customFormat="true" ht="15.95" hidden="false" customHeight="true" outlineLevel="0" collapsed="false">
      <c r="B77" s="22" t="s">
        <v>17</v>
      </c>
      <c r="C77" s="26" t="s">
        <v>190</v>
      </c>
      <c r="D77" s="26"/>
      <c r="E77" s="113" t="n">
        <f aca="false">PERC_SUBSTITUTO_AUSENCIAS_LEGAIS</f>
        <v>2.22222222222222</v>
      </c>
      <c r="F77" s="109" t="n">
        <f aca="false">PERC_SUBSTITUTO_AUSENCIAS_LEGAIS%*(MOD_1_REMUNERACAO_12X36_NOT+MOD_2_ENCARGOS_BENEFICIOS_12X36_NOT+MOD_3_PROVISAO_RESCISAO_12X36_NOT)</f>
        <v>82.4333702868386</v>
      </c>
      <c r="G77" s="109" t="n">
        <f aca="false">PERC_SUBSTITUTO_AUSENCIAS_LEGAIS%*(G32+G70+G112)</f>
        <v>70.6468116873727</v>
      </c>
      <c r="H77" s="109" t="n">
        <f aca="false">PERC_SUBSTITUTO_AUSENCIAS_LEGAIS%*(H32+H70+H112)</f>
        <v>74.2557076650131</v>
      </c>
    </row>
    <row r="78" s="7" customFormat="true" ht="15.95" hidden="false" customHeight="true" outlineLevel="0" collapsed="false">
      <c r="B78" s="22" t="s">
        <v>20</v>
      </c>
      <c r="C78" s="69" t="s">
        <v>192</v>
      </c>
      <c r="D78" s="69"/>
      <c r="E78" s="111" t="n">
        <f aca="false">PERC_SUBSTITUTO_LICENCA_PATERNIDADE</f>
        <v>0.0394444444444444</v>
      </c>
      <c r="F78" s="107" t="n">
        <f aca="false">PERC_SUBSTITUTO_LICENCA_PATERNIDADE%*(MOD_1_REMUNERACAO_12X36_NOT+MOD_2_ENCARGOS_BENEFICIOS_12X36_NOT+MOD_3_PROVISAO_RESCISAO_12X36_NOT)</f>
        <v>1.46319232259138</v>
      </c>
      <c r="G78" s="107" t="n">
        <f aca="false">PERC_SUBSTITUTO_LICENCA_PATERNIDADE%*(G32+G70+G112)</f>
        <v>1.25398090745086</v>
      </c>
      <c r="H78" s="107" t="n">
        <f aca="false">PERC_SUBSTITUTO_LICENCA_PATERNIDADE%*(H32+H70+H112)</f>
        <v>1.31803881105398</v>
      </c>
    </row>
    <row r="79" s="7" customFormat="true" ht="16.5" hidden="false" customHeight="true" outlineLevel="0" collapsed="false">
      <c r="B79" s="22" t="s">
        <v>23</v>
      </c>
      <c r="C79" s="26" t="s">
        <v>194</v>
      </c>
      <c r="D79" s="26"/>
      <c r="E79" s="113" t="n">
        <f aca="false">PERC_SUBSTITUTO_ACID_TRAB</f>
        <v>0.0185302229372558</v>
      </c>
      <c r="F79" s="109" t="n">
        <f aca="false">PERC_SUBSTITUTO_ACID_TRAB%*(MOD_1_REMUNERACAO_12X36_NOT+MOD_2_ENCARGOS_BENEFICIOS_12X36_NOT+MOD_3_PROVISAO_RESCISAO_12X36_NOT)</f>
        <v>0.687378927998015</v>
      </c>
      <c r="G79" s="109" t="n">
        <f aca="false">PERC_SUBSTITUTO_ACID_TRAB%*(G32+G70+G112)</f>
        <v>0.589095526668005</v>
      </c>
      <c r="H79" s="109" t="n">
        <f aca="false">PERC_SUBSTITUTO_ACID_TRAB%*(H32+H70+H112)</f>
        <v>0.619188667828375</v>
      </c>
    </row>
    <row r="80" customFormat="false" ht="16.5" hidden="false" customHeight="true" outlineLevel="0" collapsed="false">
      <c r="A80" s="7"/>
      <c r="B80" s="22" t="s">
        <v>25</v>
      </c>
      <c r="C80" s="69" t="s">
        <v>196</v>
      </c>
      <c r="D80" s="69"/>
      <c r="E80" s="111" t="n">
        <f aca="false">PERC_SUBSTITUTO_AFAST_MATERN</f>
        <v>0.13064</v>
      </c>
      <c r="F80" s="107" t="n">
        <f aca="false">PERC_SUBSTITUTO_AFAST_MATERN%*(MOD_1_REMUNERACAO_12X36_NOT+MOD_2_ENCARGOS_BENEFICIOS_12X36_NOT+MOD_3_PROVISAO_RESCISAO_12X36_NOT)</f>
        <v>4.84609297242267</v>
      </c>
      <c r="G80" s="107" t="n">
        <f aca="false">PERC_SUBSTITUTO_AFAST_MATERN%*(G32+G70+G112)</f>
        <v>4.15318476547727</v>
      </c>
      <c r="H80" s="107" t="n">
        <f aca="false">PERC_SUBSTITUTO_AFAST_MATERN%*(H32+H70+H112)</f>
        <v>4.3653445422108</v>
      </c>
    </row>
    <row r="81" customFormat="false" ht="16.4" hidden="false" customHeight="false" outlineLevel="0" collapsed="false">
      <c r="A81" s="7"/>
      <c r="B81" s="22" t="s">
        <v>60</v>
      </c>
      <c r="C81" s="149" t="str">
        <f aca="false">OUTRAS_AUSENCIAS_DESCRICAO</f>
        <v>Outras Ausências (Especificar - em %)</v>
      </c>
      <c r="D81" s="149"/>
      <c r="E81" s="150" t="n">
        <f aca="false">PERC_SUBSTITUTO_OUTRAS_AUSENCIAS</f>
        <v>0</v>
      </c>
      <c r="F81" s="109" t="n">
        <f aca="false">PERC_SUBSTITUTO_OUTRAS_AUSENCIAS%*(MOD_1_REMUNERACAO_12X36_NOT+MOD_2_ENCARGOS_BENEFICIOS_12X36_NOT+MOD_3_PROVISAO_RESCISAO_12X36_NOT)</f>
        <v>0</v>
      </c>
      <c r="G81" s="109" t="n">
        <f aca="false">PERC_SUBSTITUTO_OUTRAS_AUSENCIAS%*(G32+G70+G112)</f>
        <v>0</v>
      </c>
      <c r="H81" s="109" t="n">
        <f aca="false">PERC_SUBSTITUTO_OUTRAS_AUSENCIAS%*(H32+H70+H112)</f>
        <v>0</v>
      </c>
    </row>
    <row r="82" customFormat="false" ht="13.8" hidden="false" customHeight="false" outlineLevel="0" collapsed="false">
      <c r="A82" s="7"/>
      <c r="B82" s="70" t="s">
        <v>76</v>
      </c>
      <c r="C82" s="70"/>
      <c r="D82" s="70"/>
      <c r="E82" s="70"/>
      <c r="F82" s="145" t="n">
        <f aca="false">SUM(F76:F81)</f>
        <v>398.555173085495</v>
      </c>
      <c r="G82" s="145" t="n">
        <f aca="false">SUM(G76:G81)</f>
        <v>341.568616714616</v>
      </c>
      <c r="H82" s="145" t="n">
        <f aca="false">SUM(H76:H81)</f>
        <v>359.017183429906</v>
      </c>
    </row>
    <row r="83" customFormat="false" ht="15" hidden="false" customHeight="true" outlineLevel="0" collapsed="false">
      <c r="A83" s="7"/>
      <c r="B83" s="59" t="str">
        <f aca="false">SUBMOD_4_2</f>
        <v>Submódulo 4.2 – Indenização devida ao empregado pelo trabalho no intervalo intrajornada</v>
      </c>
      <c r="C83" s="76"/>
      <c r="D83" s="77"/>
      <c r="E83" s="78"/>
      <c r="F83" s="78"/>
    </row>
    <row r="84" customFormat="false" ht="31.3" hidden="false" customHeight="false" outlineLevel="0" collapsed="false">
      <c r="A84" s="7"/>
      <c r="B84" s="61" t="s">
        <v>104</v>
      </c>
      <c r="C84" s="70" t="str">
        <f aca="false">'PRMS EM CAMPO GRANDE'!C84</f>
        <v>Intrajornada</v>
      </c>
      <c r="D84" s="70"/>
      <c r="E84" s="70"/>
      <c r="F84" s="135" t="s">
        <v>207</v>
      </c>
      <c r="G84" s="136" t="s">
        <v>208</v>
      </c>
      <c r="H84" s="136" t="s">
        <v>209</v>
      </c>
    </row>
    <row r="85" customFormat="false" ht="16.4" hidden="false" customHeight="false" outlineLevel="0" collapsed="false">
      <c r="A85" s="7"/>
      <c r="B85" s="61"/>
      <c r="C85" s="70"/>
      <c r="D85" s="70"/>
      <c r="E85" s="70"/>
      <c r="F85" s="22" t="s">
        <v>111</v>
      </c>
      <c r="G85" s="22" t="s">
        <v>111</v>
      </c>
      <c r="H85" s="22" t="s">
        <v>111</v>
      </c>
    </row>
    <row r="86" customFormat="false" ht="16.5" hidden="false" customHeight="true" outlineLevel="0" collapsed="false">
      <c r="A86" s="7"/>
      <c r="B86" s="61" t="s">
        <v>15</v>
      </c>
      <c r="C86" s="69" t="str">
        <f aca="false">'PRMS EM CAMPO GRANDE'!C86</f>
        <v>Trabalho durante o intervalo intrajornada</v>
      </c>
      <c r="D86" s="69"/>
      <c r="E86" s="69"/>
      <c r="F86" s="104" t="n">
        <f aca="false">((MOD_1_REMUNERACAO_12X36_NOT)/DIVISOR_DE_HORAS)*((TEMPO_INTERVALO_REFEICAO/HORA_NORMAL)+PERC_HORA_EXTRA%)*DIAS_TRABALHADOS_NO_MES_12X36</f>
        <v>213.396867779694</v>
      </c>
      <c r="G86" s="104" t="n">
        <f aca="false">((G32)/DIVISOR_DE_HORAS)*((TEMPO_INTERVALO_REFEICAO/HORA_NORMAL)+PERC_HORA_EXTRA%)*DIAS_TRABALHADOS_NO_MES_12X36</f>
        <v>178.323002711777</v>
      </c>
      <c r="H86" s="104" t="n">
        <f aca="false">((H32)/DIVISOR_DE_HORAS)*((TEMPO_INTERVALO_REFEICAO/HORA_NORMAL)+PERC_HORA_EXTRA%)*DIAS_UTEIS_TRABALHADOS_NO_MES_44HORAS</f>
        <v>259.76925</v>
      </c>
    </row>
    <row r="87" customFormat="false" ht="13.8" hidden="false" customHeight="false" outlineLevel="0" collapsed="false">
      <c r="A87" s="7"/>
      <c r="B87" s="70" t="s">
        <v>76</v>
      </c>
      <c r="C87" s="70"/>
      <c r="D87" s="70"/>
      <c r="E87" s="70"/>
      <c r="F87" s="145" t="n">
        <f aca="false">SUM(F86)</f>
        <v>213.396867779694</v>
      </c>
      <c r="G87" s="145" t="n">
        <f aca="false">SUM(G86)</f>
        <v>178.323002711777</v>
      </c>
      <c r="H87" s="145" t="n">
        <f aca="false">SUM(H86)</f>
        <v>259.76925</v>
      </c>
    </row>
    <row r="88" customFormat="false" ht="7.5" hidden="false" customHeight="true" outlineLevel="0" collapsed="false">
      <c r="B88" s="148"/>
      <c r="C88" s="103"/>
      <c r="D88" s="47"/>
      <c r="E88" s="60"/>
      <c r="F88" s="60"/>
    </row>
    <row r="89" customFormat="false" ht="16.5" hidden="false" customHeight="false" outlineLevel="0" collapsed="false">
      <c r="B89" s="59" t="s">
        <v>109</v>
      </c>
      <c r="C89" s="76"/>
      <c r="D89" s="76"/>
      <c r="E89" s="78"/>
      <c r="F89" s="78"/>
    </row>
    <row r="90" customFormat="false" ht="31.3" hidden="false" customHeight="true" outlineLevel="0" collapsed="false">
      <c r="B90" s="82" t="n">
        <v>5</v>
      </c>
      <c r="C90" s="84" t="s">
        <v>110</v>
      </c>
      <c r="D90" s="84"/>
      <c r="E90" s="84"/>
      <c r="F90" s="135" t="s">
        <v>207</v>
      </c>
      <c r="G90" s="136" t="s">
        <v>208</v>
      </c>
      <c r="H90" s="136" t="s">
        <v>209</v>
      </c>
    </row>
    <row r="91" customFormat="false" ht="15.75" hidden="false" customHeight="true" outlineLevel="0" collapsed="false">
      <c r="B91" s="82"/>
      <c r="C91" s="84"/>
      <c r="D91" s="84"/>
      <c r="E91" s="84"/>
      <c r="F91" s="84" t="s">
        <v>111</v>
      </c>
      <c r="G91" s="84" t="s">
        <v>111</v>
      </c>
      <c r="H91" s="84" t="s">
        <v>111</v>
      </c>
    </row>
    <row r="92" customFormat="false" ht="16.5" hidden="false" customHeight="true" outlineLevel="0" collapsed="false">
      <c r="B92" s="151" t="s">
        <v>15</v>
      </c>
      <c r="C92" s="152" t="s">
        <v>218</v>
      </c>
      <c r="D92" s="152"/>
      <c r="E92" s="152"/>
      <c r="F92" s="153" t="n">
        <f aca="false">VALOR_UNIFORME_POSTO</f>
        <v>72.085</v>
      </c>
      <c r="G92" s="153" t="n">
        <f aca="false">VALOR_UNIFORME_POSTO</f>
        <v>72.085</v>
      </c>
      <c r="H92" s="153" t="n">
        <f aca="false">VALOR_UNIFORME_POSTO</f>
        <v>72.085</v>
      </c>
      <c r="I92" s="140"/>
    </row>
    <row r="93" customFormat="false" ht="16.5" hidden="false" customHeight="true" outlineLevel="0" collapsed="false">
      <c r="B93" s="151" t="s">
        <v>17</v>
      </c>
      <c r="C93" s="154" t="s">
        <v>219</v>
      </c>
      <c r="D93" s="154"/>
      <c r="E93" s="154"/>
      <c r="F93" s="155"/>
      <c r="G93" s="155"/>
      <c r="H93" s="155"/>
    </row>
    <row r="94" customFormat="false" ht="16.5" hidden="false" customHeight="true" outlineLevel="0" collapsed="false">
      <c r="B94" s="151" t="s">
        <v>20</v>
      </c>
      <c r="C94" s="152" t="s">
        <v>220</v>
      </c>
      <c r="D94" s="152"/>
      <c r="E94" s="152"/>
      <c r="F94" s="153" t="n">
        <f aca="false">VALOR_EQUIP_12X36_NOT+VALOR_EQUIP_USO_COMPART_12X36</f>
        <v>24.0749520833333</v>
      </c>
      <c r="G94" s="153" t="n">
        <f aca="false">VALOR_EQUIP_12X36_DIURNO+VALOR_EQUIP_USO_COMPART_12X36</f>
        <v>18.32654375</v>
      </c>
      <c r="H94" s="153" t="n">
        <f aca="false">VALOR_EQUIP_POSTO_44_HORAS+VALOR_EQUIP_LEITOR_POSTO_44_INT</f>
        <v>87.9549583333333</v>
      </c>
    </row>
    <row r="95" customFormat="false" ht="16.4" hidden="false" customHeight="true" outlineLevel="0" collapsed="false">
      <c r="B95" s="151" t="s">
        <v>23</v>
      </c>
      <c r="C95" s="156" t="s">
        <v>221</v>
      </c>
      <c r="D95" s="156"/>
      <c r="E95" s="156"/>
      <c r="F95" s="155"/>
      <c r="G95" s="155"/>
      <c r="H95" s="155"/>
    </row>
    <row r="96" customFormat="false" ht="16.5" hidden="false" customHeight="true" outlineLevel="0" collapsed="false">
      <c r="B96" s="83" t="s">
        <v>76</v>
      </c>
      <c r="C96" s="83"/>
      <c r="D96" s="83"/>
      <c r="E96" s="83"/>
      <c r="F96" s="157" t="n">
        <f aca="false">SUM(F92:F95)</f>
        <v>96.1599520833333</v>
      </c>
      <c r="G96" s="157" t="n">
        <f aca="false">SUM(G92:G95)</f>
        <v>90.41154375</v>
      </c>
      <c r="H96" s="157" t="n">
        <f aca="false">SUM(H92:H95)</f>
        <v>160.039958333333</v>
      </c>
    </row>
    <row r="97" customFormat="false" ht="7.5" hidden="false" customHeight="true" outlineLevel="0" collapsed="false">
      <c r="B97" s="148"/>
      <c r="C97" s="103"/>
      <c r="D97" s="47"/>
      <c r="E97" s="60"/>
      <c r="F97" s="60"/>
    </row>
    <row r="98" customFormat="false" ht="15" hidden="false" customHeight="true" outlineLevel="0" collapsed="false">
      <c r="B98" s="85" t="s">
        <v>113</v>
      </c>
      <c r="C98" s="85"/>
      <c r="D98" s="85"/>
      <c r="E98" s="85"/>
      <c r="F98" s="85"/>
    </row>
    <row r="99" customFormat="false" ht="31.3" hidden="false" customHeight="true" outlineLevel="0" collapsed="false">
      <c r="B99" s="61" t="n">
        <v>6</v>
      </c>
      <c r="C99" s="70" t="s">
        <v>114</v>
      </c>
      <c r="D99" s="70"/>
      <c r="E99" s="22" t="s">
        <v>65</v>
      </c>
      <c r="F99" s="135" t="s">
        <v>207</v>
      </c>
      <c r="G99" s="136" t="s">
        <v>208</v>
      </c>
      <c r="H99" s="136" t="s">
        <v>209</v>
      </c>
    </row>
    <row r="100" customFormat="false" ht="16.4" hidden="false" customHeight="false" outlineLevel="0" collapsed="false">
      <c r="B100" s="61"/>
      <c r="C100" s="70"/>
      <c r="D100" s="70"/>
      <c r="E100" s="22"/>
      <c r="F100" s="22" t="s">
        <v>111</v>
      </c>
      <c r="G100" s="22" t="s">
        <v>111</v>
      </c>
      <c r="H100" s="22" t="s">
        <v>111</v>
      </c>
    </row>
    <row r="101" customFormat="false" ht="16.5" hidden="false" customHeight="true" outlineLevel="0" collapsed="false">
      <c r="B101" s="61" t="s">
        <v>15</v>
      </c>
      <c r="C101" s="69" t="s">
        <v>117</v>
      </c>
      <c r="D101" s="69"/>
      <c r="E101" s="158" t="n">
        <f aca="false">PERC_CUSTOS_INDIRETOS_DOU</f>
        <v>4.85</v>
      </c>
      <c r="F101" s="107" t="n">
        <f aca="false">PERC_CUSTOS_INDIRETOS_DOU%*(MOD_1_REMUNERACAO_12X36_NOT+MOD_2_ENCARGOS_BENEFICIOS_12X36_NOT+MOD_3_PROVISAO_RESCISAO_12X36_NOT+MOD_4_CUSTO_REPOSICAO_12X36_NOT+MOD_5_INSUMOS_12X36_NOT)</f>
        <v>214.254262309029</v>
      </c>
      <c r="G101" s="107" t="n">
        <f aca="false">PERC_CUSTOS_INDIRETOS_DOU%*(G111+G112+G113+G114+G115)</f>
        <v>183.786369921746</v>
      </c>
      <c r="H101" s="107" t="n">
        <f aca="false">PERC_CUSTOS_INDIRETOS_DOU%*(H111+H112+H113+H114+H115)</f>
        <v>199.836161979408</v>
      </c>
    </row>
    <row r="102" customFormat="false" ht="15.75" hidden="false" customHeight="true" outlineLevel="0" collapsed="false">
      <c r="B102" s="22" t="s">
        <v>17</v>
      </c>
      <c r="C102" s="26" t="s">
        <v>118</v>
      </c>
      <c r="D102" s="26"/>
      <c r="E102" s="159" t="n">
        <f aca="false">PERC_LUCRO_DOU</f>
        <v>5.45</v>
      </c>
      <c r="F102" s="109" t="n">
        <f aca="false">PERC_LUCRO_DOU%*(MOD_1_REMUNERACAO_12X36_NOT+MOD_2_ENCARGOS_BENEFICIOS_12X36_NOT+MOD_3_PROVISAO_RESCISAO_12X36_NOT+MOD_4_CUSTO_REPOSICAO_12X36_NOT+MOD_5_INSUMOS_12X36_NOT+AL_6_A_CUSTOS_INDIRETOS_12X36_NOT)</f>
        <v>252.436801540008</v>
      </c>
      <c r="G102" s="109" t="n">
        <f aca="false">PERC_LUCRO_DOU%*(G111+G112+G113+G114+G115+G101)</f>
        <v>216.53918521713</v>
      </c>
      <c r="H102" s="109" t="n">
        <f aca="false">PERC_LUCRO_DOU%*(H111+H112+H113+H114+H115+H101)</f>
        <v>235.449232227419</v>
      </c>
    </row>
    <row r="103" customFormat="false" ht="16.5" hidden="false" customHeight="true" outlineLevel="0" collapsed="false">
      <c r="B103" s="22" t="s">
        <v>20</v>
      </c>
      <c r="C103" s="69" t="s">
        <v>119</v>
      </c>
      <c r="D103" s="69"/>
      <c r="E103" s="158" t="n">
        <f aca="false">SUM(E104:E106)</f>
        <v>8.65</v>
      </c>
      <c r="F103" s="107" t="n">
        <f aca="false">SUM(F104:F106)</f>
        <v>462.498476469084</v>
      </c>
      <c r="G103" s="107" t="n">
        <f aca="false">SUM(G104:G106)</f>
        <v>396.729172005878</v>
      </c>
      <c r="H103" s="107" t="n">
        <f aca="false">SUM(H104:H106)</f>
        <v>431.374944250109</v>
      </c>
    </row>
    <row r="104" customFormat="false" ht="15.75" hidden="false" customHeight="true" outlineLevel="0" collapsed="false">
      <c r="B104" s="92" t="s">
        <v>120</v>
      </c>
      <c r="C104" s="160" t="s">
        <v>121</v>
      </c>
      <c r="D104" s="160"/>
      <c r="E104" s="161" t="n">
        <f aca="false">PERC_PIS</f>
        <v>0.65</v>
      </c>
      <c r="F104" s="162" t="n">
        <f aca="false">((MOD_1_REMUNERACAO_12X36_NOT+MOD_2_ENCARGOS_BENEFICIOS_12X36_NOT+MOD_3_PROVISAO_RESCISAO_12X36_NOT+MOD_4_CUSTO_REPOSICAO_12X36_NOT+MOD_5_INSUMOS_12X36_NOT+AL_6_A_CUSTOS_INDIRETOS_12X36_NOT+AL_6_B_LUCRO_12X36_NOT)*PERC_PIS%)/(1-E103%)</f>
        <v>34.7542207751335</v>
      </c>
      <c r="G104" s="162" t="n">
        <f aca="false">((G111+G112+G113+G114+G115+G101+G102)*PERC_PIS%)/(1-E103%)</f>
        <v>29.812018705644</v>
      </c>
      <c r="H104" s="162" t="n">
        <f aca="false">((H111+H112+H113+H114+H115+H101+H102)*PERC_PIS%)/(1-E103%)</f>
        <v>32.4154582384475</v>
      </c>
    </row>
    <row r="105" customFormat="false" ht="16.5" hidden="false" customHeight="true" outlineLevel="0" collapsed="false">
      <c r="B105" s="92" t="s">
        <v>122</v>
      </c>
      <c r="C105" s="163" t="s">
        <v>123</v>
      </c>
      <c r="D105" s="163"/>
      <c r="E105" s="164" t="n">
        <f aca="false">PERC_COFINS</f>
        <v>3</v>
      </c>
      <c r="F105" s="165" t="n">
        <f aca="false">((MOD_1_REMUNERACAO_12X36_NOT+MOD_2_ENCARGOS_BENEFICIOS_12X36_NOT+MOD_3_PROVISAO_RESCISAO_12X36_NOT+MOD_4_CUSTO_REPOSICAO_12X36_NOT+MOD_5_INSUMOS_12X36_NOT+AL_6_A_CUSTOS_INDIRETOS_12X36_NOT+AL_6_B_LUCRO_12X36_NOT)*PERC_COFINS%)/(1-E103%)</f>
        <v>160.404095885231</v>
      </c>
      <c r="G105" s="165" t="n">
        <f aca="false">((G111+G112+G113+G114+G115+G101+G102)*PERC_COFINS%)/(1-E103%)</f>
        <v>137.593932487588</v>
      </c>
      <c r="H105" s="165" t="n">
        <f aca="false">((H111+H112+H113+H114+H115+H101+H102)*PERC_COFINS%)/(1-E103%)</f>
        <v>149.609807254373</v>
      </c>
    </row>
    <row r="106" s="91" customFormat="true" ht="16.5" hidden="false" customHeight="true" outlineLevel="0" collapsed="false">
      <c r="B106" s="92" t="s">
        <v>124</v>
      </c>
      <c r="C106" s="160" t="s">
        <v>125</v>
      </c>
      <c r="D106" s="160"/>
      <c r="E106" s="161" t="n">
        <f aca="false">PERC_ISS</f>
        <v>5</v>
      </c>
      <c r="F106" s="162" t="n">
        <f aca="false">((MOD_1_REMUNERACAO_12X36_NOT+MOD_2_ENCARGOS_BENEFICIOS_12X36_NOT+MOD_3_PROVISAO_RESCISAO_12X36_NOT+MOD_4_CUSTO_REPOSICAO_12X36_NOT+MOD_5_INSUMOS_12X36_NOT+AL_6_A_CUSTOS_INDIRETOS_12X36_NOT+AL_6_B_LUCRO_12X36_NOT)*PERC_ISS_DOU%)/(1-E103%)</f>
        <v>267.340159808719</v>
      </c>
      <c r="G106" s="162" t="n">
        <f aca="false">((G111+G112+G113+G114+G115+G101+G102)*PERC_ISS_DOU%)/(1-E103%)</f>
        <v>229.323220812646</v>
      </c>
      <c r="H106" s="162" t="n">
        <f aca="false">((H111+H112+H113+H114+H115+H101+H102)*PERC_ISS_DOU%)/(1-E103%)</f>
        <v>249.349678757289</v>
      </c>
    </row>
    <row r="107" customFormat="false" ht="16.4" hidden="false" customHeight="false" outlineLevel="0" collapsed="false">
      <c r="A107" s="91"/>
      <c r="B107" s="70" t="s">
        <v>76</v>
      </c>
      <c r="C107" s="70"/>
      <c r="D107" s="70"/>
      <c r="E107" s="70"/>
      <c r="F107" s="166" t="n">
        <f aca="false">AL_6_A_CUSTOS_INDIRETOS_12X36_NOT+AL_6_B_LUCRO_12X36_NOT+AL_6_C_TRIBUTOS_12X36_NOT</f>
        <v>929.189540318121</v>
      </c>
      <c r="G107" s="166" t="n">
        <f aca="false">SUM(G101:G103)</f>
        <v>797.054727144754</v>
      </c>
      <c r="H107" s="166" t="n">
        <f aca="false">SUM(H101:H103)</f>
        <v>866.660338456937</v>
      </c>
    </row>
    <row r="108" customFormat="false" ht="20.25" hidden="false" customHeight="false" outlineLevel="0" collapsed="false">
      <c r="A108" s="91"/>
      <c r="B108" s="167" t="s">
        <v>223</v>
      </c>
      <c r="C108" s="168"/>
      <c r="D108" s="168"/>
      <c r="E108" s="168"/>
      <c r="F108" s="169"/>
    </row>
    <row r="109" customFormat="false" ht="31.5" hidden="false" customHeight="true" outlineLevel="0" collapsed="false">
      <c r="A109" s="91"/>
      <c r="B109" s="22" t="s">
        <v>224</v>
      </c>
      <c r="C109" s="62" t="s">
        <v>225</v>
      </c>
      <c r="D109" s="62"/>
      <c r="E109" s="62"/>
      <c r="F109" s="135" t="s">
        <v>207</v>
      </c>
      <c r="G109" s="136" t="s">
        <v>208</v>
      </c>
      <c r="H109" s="136" t="s">
        <v>209</v>
      </c>
    </row>
    <row r="110" s="86" customFormat="true" ht="16.5" hidden="false" customHeight="true" outlineLevel="0" collapsed="false">
      <c r="B110" s="22"/>
      <c r="C110" s="62"/>
      <c r="D110" s="62"/>
      <c r="E110" s="62"/>
      <c r="F110" s="22" t="s">
        <v>226</v>
      </c>
      <c r="G110" s="22" t="s">
        <v>226</v>
      </c>
      <c r="H110" s="22" t="s">
        <v>226</v>
      </c>
    </row>
    <row r="111" s="91" customFormat="true" ht="16.5" hidden="false" customHeight="true" outlineLevel="0" collapsed="false">
      <c r="B111" s="61" t="n">
        <v>1</v>
      </c>
      <c r="C111" s="69" t="s">
        <v>53</v>
      </c>
      <c r="D111" s="69"/>
      <c r="E111" s="69"/>
      <c r="F111" s="107" t="n">
        <f aca="false">MOD_1_REMUNERACAO_12X36_NOT</f>
        <v>2086.54715162368</v>
      </c>
      <c r="G111" s="107" t="n">
        <f aca="false">G32</f>
        <v>1743.60269318182</v>
      </c>
      <c r="H111" s="107" t="n">
        <f aca="false">H32</f>
        <v>1731.795</v>
      </c>
    </row>
    <row r="112" s="87" customFormat="true" ht="16.5" hidden="false" customHeight="true" outlineLevel="0" collapsed="false">
      <c r="B112" s="22" t="n">
        <v>2</v>
      </c>
      <c r="C112" s="26" t="s">
        <v>227</v>
      </c>
      <c r="D112" s="26"/>
      <c r="E112" s="26"/>
      <c r="F112" s="109" t="n">
        <f aca="false">MOD_2_ENCARGOS_BENEFICIOS_12X36_NOT</f>
        <v>1560.58851884431</v>
      </c>
      <c r="G112" s="109" t="n">
        <f aca="false">G39+G51+G60</f>
        <v>1382.25740045455</v>
      </c>
      <c r="H112" s="109" t="n">
        <f aca="false">H39+H51+H60</f>
        <v>1554.2029</v>
      </c>
    </row>
    <row r="113" customFormat="false" ht="16.5" hidden="false" customHeight="true" outlineLevel="0" collapsed="false">
      <c r="A113" s="87"/>
      <c r="B113" s="22" t="n">
        <v>3</v>
      </c>
      <c r="C113" s="69" t="s">
        <v>147</v>
      </c>
      <c r="D113" s="69"/>
      <c r="E113" s="69"/>
      <c r="F113" s="107" t="n">
        <f aca="false">MOD_3_PROVISAO_RESCISAO_12X36_NOT</f>
        <v>62.3659924397462</v>
      </c>
      <c r="G113" s="107" t="n">
        <f aca="false">G70</f>
        <v>53.2464322954064</v>
      </c>
      <c r="H113" s="107" t="n">
        <f aca="false">H70</f>
        <v>55.5089449255943</v>
      </c>
    </row>
    <row r="114" customFormat="false" ht="16.5" hidden="false" customHeight="true" outlineLevel="0" collapsed="false">
      <c r="A114" s="87"/>
      <c r="B114" s="22" t="n">
        <v>4</v>
      </c>
      <c r="C114" s="26" t="str">
        <f aca="false">'PRMS EM CAMPO GRANDE'!C114</f>
        <v>Custo de Reposição do Profissional Ausente/Intrajornada</v>
      </c>
      <c r="D114" s="26"/>
      <c r="E114" s="26"/>
      <c r="F114" s="109" t="n">
        <f aca="false">MOD_4_CUSTO_REPOSICAO_12X36_NOT</f>
        <v>611.952040865189</v>
      </c>
      <c r="G114" s="109" t="n">
        <f aca="false">G82+G87</f>
        <v>519.891619426393</v>
      </c>
      <c r="H114" s="109" t="n">
        <f aca="false">H82+H87</f>
        <v>618.786433429906</v>
      </c>
    </row>
    <row r="115" customFormat="false" ht="16.5" hidden="false" customHeight="true" outlineLevel="0" collapsed="false">
      <c r="A115" s="87"/>
      <c r="B115" s="22" t="n">
        <v>5</v>
      </c>
      <c r="C115" s="69" t="s">
        <v>110</v>
      </c>
      <c r="D115" s="69"/>
      <c r="E115" s="69"/>
      <c r="F115" s="107" t="n">
        <f aca="false">MOD_5_INSUMOS_12X36_NOT</f>
        <v>96.1599520833333</v>
      </c>
      <c r="G115" s="107" t="n">
        <f aca="false">G96</f>
        <v>90.41154375</v>
      </c>
      <c r="H115" s="107" t="n">
        <f aca="false">H96</f>
        <v>160.039958333333</v>
      </c>
    </row>
    <row r="116" customFormat="false" ht="16.5" hidden="false" customHeight="true" outlineLevel="0" collapsed="false">
      <c r="A116" s="87"/>
      <c r="B116" s="22" t="n">
        <v>6</v>
      </c>
      <c r="C116" s="26" t="s">
        <v>114</v>
      </c>
      <c r="D116" s="26"/>
      <c r="E116" s="26"/>
      <c r="F116" s="109" t="n">
        <f aca="false">MOD_6_CUSTOS_IND_LUCRO_TRIB_12X36_NOT</f>
        <v>929.189540318121</v>
      </c>
      <c r="G116" s="109" t="n">
        <f aca="false">G107</f>
        <v>797.054727144754</v>
      </c>
      <c r="H116" s="109" t="n">
        <f aca="false">H107</f>
        <v>866.660338456937</v>
      </c>
    </row>
    <row r="117" customFormat="false" ht="16.5" hidden="false" customHeight="true" outlineLevel="0" collapsed="false">
      <c r="B117" s="62" t="s">
        <v>229</v>
      </c>
      <c r="C117" s="62"/>
      <c r="D117" s="62"/>
      <c r="E117" s="62"/>
      <c r="F117" s="166" t="n">
        <f aca="false">SUM(F111:F116)</f>
        <v>5346.80319617438</v>
      </c>
      <c r="G117" s="166" t="n">
        <f aca="false">SUM(G111:G116)</f>
        <v>4586.46441625292</v>
      </c>
      <c r="H117" s="166" t="n">
        <f aca="false">SUM(H111:H116)</f>
        <v>4986.99357514577</v>
      </c>
    </row>
    <row r="118" customFormat="false" ht="16.5" hidden="false" customHeight="true" outlineLevel="0" collapsed="false">
      <c r="B118" s="62" t="s">
        <v>230</v>
      </c>
      <c r="C118" s="62"/>
      <c r="D118" s="62"/>
      <c r="E118" s="62"/>
      <c r="F118" s="166" t="n">
        <f aca="false">VALOR_TOTAL_EMPREGADO_12x36_NOT*EMPREG_POR_POSTO_12X36_NOT</f>
        <v>10693.6063923488</v>
      </c>
      <c r="G118" s="166" t="n">
        <f aca="false">G117*G21</f>
        <v>9172.92883250584</v>
      </c>
      <c r="H118" s="166" t="n">
        <f aca="false">H117*H21</f>
        <v>4986.99357514577</v>
      </c>
    </row>
  </sheetData>
  <mergeCells count="118">
    <mergeCell ref="B1:H1"/>
    <mergeCell ref="B2:D2"/>
    <mergeCell ref="F2:H2"/>
    <mergeCell ref="B3:H3"/>
    <mergeCell ref="B4:H4"/>
    <mergeCell ref="B5:C5"/>
    <mergeCell ref="D5:H5"/>
    <mergeCell ref="B6:C6"/>
    <mergeCell ref="D6:E6"/>
    <mergeCell ref="F6:H6"/>
    <mergeCell ref="B7:H7"/>
    <mergeCell ref="C8:E8"/>
    <mergeCell ref="F8:H8"/>
    <mergeCell ref="D9:H9"/>
    <mergeCell ref="C10:E10"/>
    <mergeCell ref="F10:H10"/>
    <mergeCell ref="C11:E11"/>
    <mergeCell ref="F11:H11"/>
    <mergeCell ref="C12:E12"/>
    <mergeCell ref="F12:H12"/>
    <mergeCell ref="C14:D14"/>
    <mergeCell ref="E14:H14"/>
    <mergeCell ref="D15:H15"/>
    <mergeCell ref="D16:H16"/>
    <mergeCell ref="C17:E17"/>
    <mergeCell ref="F17:H17"/>
    <mergeCell ref="B18:H18"/>
    <mergeCell ref="B19:H19"/>
    <mergeCell ref="B20:E20"/>
    <mergeCell ref="B21:E21"/>
    <mergeCell ref="B23:B24"/>
    <mergeCell ref="C23:E24"/>
    <mergeCell ref="C25:E25"/>
    <mergeCell ref="C26:E26"/>
    <mergeCell ref="C27:E27"/>
    <mergeCell ref="C28:E28"/>
    <mergeCell ref="C29:E29"/>
    <mergeCell ref="C30:E30"/>
    <mergeCell ref="C31:E31"/>
    <mergeCell ref="B32:E32"/>
    <mergeCell ref="B35:B36"/>
    <mergeCell ref="C35:D36"/>
    <mergeCell ref="E35:E36"/>
    <mergeCell ref="C37:D37"/>
    <mergeCell ref="C38:D38"/>
    <mergeCell ref="B39:E39"/>
    <mergeCell ref="B40:F40"/>
    <mergeCell ref="B41:B42"/>
    <mergeCell ref="C41:D42"/>
    <mergeCell ref="E41:E42"/>
    <mergeCell ref="C43:D43"/>
    <mergeCell ref="C44:D44"/>
    <mergeCell ref="C45:D45"/>
    <mergeCell ref="C46:D46"/>
    <mergeCell ref="C47:D47"/>
    <mergeCell ref="C48:D48"/>
    <mergeCell ref="C49:D49"/>
    <mergeCell ref="C50:D50"/>
    <mergeCell ref="B51:E51"/>
    <mergeCell ref="B53:B54"/>
    <mergeCell ref="C53:E54"/>
    <mergeCell ref="C55:E55"/>
    <mergeCell ref="C56:E56"/>
    <mergeCell ref="C57:E57"/>
    <mergeCell ref="C58:E58"/>
    <mergeCell ref="C59:E59"/>
    <mergeCell ref="B60:E60"/>
    <mergeCell ref="B62:B63"/>
    <mergeCell ref="C62:D63"/>
    <mergeCell ref="E62:E63"/>
    <mergeCell ref="C64:D64"/>
    <mergeCell ref="C65:D65"/>
    <mergeCell ref="C66:D66"/>
    <mergeCell ref="C67:D67"/>
    <mergeCell ref="C68:D68"/>
    <mergeCell ref="C69:D69"/>
    <mergeCell ref="B70:E70"/>
    <mergeCell ref="B74:B75"/>
    <mergeCell ref="C74:D75"/>
    <mergeCell ref="E74:E75"/>
    <mergeCell ref="C76:D76"/>
    <mergeCell ref="C77:D77"/>
    <mergeCell ref="C78:D78"/>
    <mergeCell ref="C79:D79"/>
    <mergeCell ref="C80:D80"/>
    <mergeCell ref="C81:D81"/>
    <mergeCell ref="B82:E82"/>
    <mergeCell ref="B84:B85"/>
    <mergeCell ref="C84:E85"/>
    <mergeCell ref="C86:E86"/>
    <mergeCell ref="B87:E87"/>
    <mergeCell ref="C90:E91"/>
    <mergeCell ref="C92:E92"/>
    <mergeCell ref="C93:E93"/>
    <mergeCell ref="C94:E94"/>
    <mergeCell ref="C95:E95"/>
    <mergeCell ref="B96:E96"/>
    <mergeCell ref="B98:F98"/>
    <mergeCell ref="B99:B100"/>
    <mergeCell ref="C99:D100"/>
    <mergeCell ref="E99:E100"/>
    <mergeCell ref="C101:D101"/>
    <mergeCell ref="C102:D102"/>
    <mergeCell ref="C103:D103"/>
    <mergeCell ref="C104:D104"/>
    <mergeCell ref="C105:D105"/>
    <mergeCell ref="C106:D106"/>
    <mergeCell ref="B107:E107"/>
    <mergeCell ref="B109:B110"/>
    <mergeCell ref="C109:E110"/>
    <mergeCell ref="C111:E111"/>
    <mergeCell ref="C112:E112"/>
    <mergeCell ref="C113:E113"/>
    <mergeCell ref="C114:E114"/>
    <mergeCell ref="C115:E115"/>
    <mergeCell ref="C116:E116"/>
    <mergeCell ref="B117:E117"/>
    <mergeCell ref="B118:E118"/>
  </mergeCells>
  <printOptions headings="false" gridLines="false" gridLinesSet="true" horizontalCentered="true" verticalCentered="false"/>
  <pageMargins left="0.0798611111111111" right="0.05" top="0.196527777777778" bottom="0.157638888888889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1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K28" activeCellId="0" sqref="K28"/>
    </sheetView>
  </sheetViews>
  <sheetFormatPr defaultRowHeight="16.5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8.86"/>
    <col collapsed="false" customWidth="true" hidden="false" outlineLevel="0" max="3" min="3" style="1" width="52.58"/>
    <col collapsed="false" customWidth="true" hidden="false" outlineLevel="0" max="4" min="4" style="1" width="7.87"/>
    <col collapsed="false" customWidth="true" hidden="false" outlineLevel="0" max="5" min="5" style="1" width="11.88"/>
    <col collapsed="false" customWidth="true" hidden="false" outlineLevel="0" max="8" min="6" style="1" width="15.31"/>
    <col collapsed="false" customWidth="true" hidden="false" outlineLevel="0" max="9" min="9" style="1" width="11.94"/>
    <col collapsed="false" customWidth="true" hidden="false" outlineLevel="0" max="1025" min="10" style="1" width="9.13"/>
  </cols>
  <sheetData>
    <row r="1" customFormat="false" ht="17.35" hidden="false" customHeight="false" outlineLevel="0" collapsed="false">
      <c r="B1" s="117" t="str">
        <f aca="false">RAMO</f>
        <v>RAMO: MINISTÉRIO PÚBLICO FEDERAL</v>
      </c>
      <c r="C1" s="117"/>
      <c r="D1" s="117"/>
      <c r="E1" s="117"/>
      <c r="F1" s="117"/>
      <c r="G1" s="117"/>
      <c r="H1" s="117"/>
    </row>
    <row r="2" customFormat="false" ht="17.35" hidden="false" customHeight="false" outlineLevel="0" collapsed="false">
      <c r="B2" s="118" t="str">
        <f aca="false">UG</f>
        <v>UNIDADE GESTORA (SIGLA): PRMS</v>
      </c>
      <c r="C2" s="118"/>
      <c r="D2" s="118"/>
      <c r="E2" s="119" t="s">
        <v>3</v>
      </c>
      <c r="F2" s="120" t="str">
        <f aca="false">DATA_DO_ORCAMENTO_ESTIMATIVO</f>
        <v>XX/XX/20XX</v>
      </c>
      <c r="G2" s="120"/>
      <c r="H2" s="120"/>
    </row>
    <row r="3" s="7" customFormat="true" ht="25.5" hidden="false" customHeight="false" outlineLevel="0" collapsed="false">
      <c r="B3" s="8" t="s">
        <v>234</v>
      </c>
      <c r="C3" s="8"/>
      <c r="D3" s="8"/>
      <c r="E3" s="8"/>
      <c r="F3" s="8"/>
    </row>
    <row r="4" customFormat="false" ht="15.95" hidden="false" customHeight="true" outlineLevel="0" collapsed="false">
      <c r="A4" s="7"/>
      <c r="B4" s="9" t="s">
        <v>6</v>
      </c>
      <c r="C4" s="9"/>
      <c r="D4" s="9"/>
      <c r="E4" s="9"/>
      <c r="F4" s="9"/>
      <c r="G4" s="9"/>
      <c r="H4" s="9"/>
    </row>
    <row r="5" customFormat="false" ht="15.95" hidden="false" customHeight="true" outlineLevel="0" collapsed="false">
      <c r="A5" s="7"/>
      <c r="B5" s="15" t="s">
        <v>199</v>
      </c>
      <c r="C5" s="15"/>
      <c r="D5" s="49" t="str">
        <f aca="false">NUMERO_PROCESSO</f>
        <v>1.21.000.000635/2019-40</v>
      </c>
      <c r="E5" s="49"/>
      <c r="F5" s="49"/>
      <c r="G5" s="49"/>
      <c r="H5" s="49"/>
    </row>
    <row r="6" customFormat="false" ht="15.75" hidden="false" customHeight="true" outlineLevel="0" collapsed="false">
      <c r="A6" s="7"/>
      <c r="B6" s="12" t="s">
        <v>200</v>
      </c>
      <c r="C6" s="12"/>
      <c r="D6" s="121" t="str">
        <f aca="false">MODALIDADE_DE_LICITACAO</f>
        <v>Pregão nº</v>
      </c>
      <c r="E6" s="121"/>
      <c r="F6" s="122" t="str">
        <f aca="false">NUMERO_PREGAO</f>
        <v>XX/20XX</v>
      </c>
      <c r="G6" s="122"/>
      <c r="H6" s="122"/>
    </row>
    <row r="7" s="6" customFormat="true" ht="15.75" hidden="false" customHeight="true" outlineLevel="0" collapsed="false">
      <c r="B7" s="123" t="s">
        <v>201</v>
      </c>
      <c r="C7" s="123"/>
      <c r="D7" s="123"/>
      <c r="E7" s="123"/>
      <c r="F7" s="123"/>
    </row>
    <row r="8" s="7" customFormat="true" ht="18" hidden="false" customHeight="true" outlineLevel="0" collapsed="false">
      <c r="B8" s="48" t="s">
        <v>15</v>
      </c>
      <c r="C8" s="15" t="s">
        <v>16</v>
      </c>
      <c r="D8" s="15"/>
      <c r="E8" s="15"/>
      <c r="F8" s="124" t="str">
        <f aca="false">DATA_APRESENTACAO_PROPOSTA</f>
        <v>XX/XX/20XX</v>
      </c>
      <c r="G8" s="124"/>
      <c r="H8" s="124"/>
    </row>
    <row r="9" customFormat="false" ht="46.4" hidden="false" customHeight="false" outlineLevel="0" collapsed="false">
      <c r="A9" s="7"/>
      <c r="B9" s="61" t="s">
        <v>17</v>
      </c>
      <c r="C9" s="23" t="s">
        <v>202</v>
      </c>
      <c r="D9" s="26" t="str">
        <f aca="false">IF(LOCAL_DE_EXECUCAO="","",LOCAL_DE_EXECUCAO)</f>
        <v>Procuradoria da República em Mato Grosso do Sul em Campo Grande e Procuradorias da República nos Municípios de Dourados, Três Lagoas, Corumbá e Naviraí</v>
      </c>
      <c r="E9" s="26"/>
      <c r="F9" s="26"/>
      <c r="G9" s="26"/>
      <c r="H9" s="26"/>
    </row>
    <row r="10" customFormat="false" ht="18.75" hidden="false" customHeight="true" outlineLevel="0" collapsed="false">
      <c r="A10" s="7"/>
      <c r="B10" s="48" t="s">
        <v>20</v>
      </c>
      <c r="C10" s="15" t="s">
        <v>24</v>
      </c>
      <c r="D10" s="15"/>
      <c r="E10" s="15"/>
      <c r="F10" s="125" t="str">
        <f aca="false">ACORDO_COLETIVO</f>
        <v>XX/20XX</v>
      </c>
      <c r="G10" s="125"/>
      <c r="H10" s="125"/>
    </row>
    <row r="11" customFormat="false" ht="15.95" hidden="false" customHeight="true" outlineLevel="0" collapsed="false">
      <c r="A11" s="7"/>
      <c r="B11" s="61" t="s">
        <v>23</v>
      </c>
      <c r="C11" s="108" t="s">
        <v>26</v>
      </c>
      <c r="D11" s="108"/>
      <c r="E11" s="108"/>
      <c r="F11" s="51" t="n">
        <f aca="false">NUMERO_MESES_EXEC_CONTRATUAL</f>
        <v>12</v>
      </c>
      <c r="G11" s="51"/>
      <c r="H11" s="51"/>
    </row>
    <row r="12" customFormat="false" ht="13.8" hidden="false" customHeight="false" outlineLevel="0" collapsed="false">
      <c r="A12" s="7"/>
      <c r="B12" s="61" t="s">
        <v>25</v>
      </c>
      <c r="C12" s="126" t="s">
        <v>203</v>
      </c>
      <c r="D12" s="126"/>
      <c r="E12" s="126"/>
      <c r="F12" s="49" t="n">
        <f aca="false">'INSERÇÃO-DE-DADOS'!F25+'INSERÇÃO-DE-DADOS'!F26</f>
        <v>2</v>
      </c>
      <c r="G12" s="49"/>
      <c r="H12" s="49"/>
    </row>
    <row r="13" s="127" customFormat="true" ht="21" hidden="false" customHeight="true" outlineLevel="0" collapsed="false">
      <c r="B13" s="128" t="s">
        <v>51</v>
      </c>
      <c r="C13" s="128"/>
      <c r="D13" s="128"/>
      <c r="E13" s="128"/>
      <c r="F13" s="128"/>
      <c r="G13" s="128"/>
      <c r="H13" s="128"/>
    </row>
    <row r="14" s="7" customFormat="true" ht="13.8" hidden="false" customHeight="false" outlineLevel="0" collapsed="false">
      <c r="B14" s="48" t="n">
        <v>1</v>
      </c>
      <c r="C14" s="15" t="s">
        <v>43</v>
      </c>
      <c r="D14" s="15"/>
      <c r="E14" s="129" t="str">
        <f aca="false">TIPO_DE_SERVICO</f>
        <v>Vigilância</v>
      </c>
      <c r="F14" s="129"/>
      <c r="G14" s="129"/>
      <c r="H14" s="129"/>
    </row>
    <row r="15" s="6" customFormat="true" ht="13.8" hidden="false" customHeight="false" outlineLevel="0" collapsed="false">
      <c r="B15" s="48" t="n">
        <v>2</v>
      </c>
      <c r="C15" s="130" t="s">
        <v>45</v>
      </c>
      <c r="D15" s="121" t="str">
        <f aca="false">CBO</f>
        <v>5173-30</v>
      </c>
      <c r="E15" s="121"/>
      <c r="F15" s="121"/>
      <c r="G15" s="121"/>
      <c r="H15" s="121"/>
    </row>
    <row r="16" s="7" customFormat="true" ht="15" hidden="false" customHeight="true" outlineLevel="0" collapsed="false">
      <c r="B16" s="48" t="n">
        <v>3</v>
      </c>
      <c r="C16" s="131" t="s">
        <v>47</v>
      </c>
      <c r="D16" s="129" t="str">
        <f aca="false">CATEGORIA_PROFISSIONAL</f>
        <v>Vigilante</v>
      </c>
      <c r="E16" s="129"/>
      <c r="F16" s="129"/>
      <c r="G16" s="129"/>
      <c r="H16" s="129"/>
    </row>
    <row r="17" customFormat="false" ht="15" hidden="false" customHeight="true" outlineLevel="0" collapsed="false">
      <c r="A17" s="7"/>
      <c r="B17" s="48" t="n">
        <v>4</v>
      </c>
      <c r="C17" s="12" t="s">
        <v>49</v>
      </c>
      <c r="D17" s="12"/>
      <c r="E17" s="12"/>
      <c r="F17" s="132" t="str">
        <f aca="false">DATA_BASE_CATEGORIA</f>
        <v>XX/XX/20XX</v>
      </c>
      <c r="G17" s="132"/>
      <c r="H17" s="132"/>
    </row>
    <row r="18" s="133" customFormat="true" ht="30" hidden="false" customHeight="true" outlineLevel="0" collapsed="false">
      <c r="B18" s="134" t="s">
        <v>235</v>
      </c>
      <c r="C18" s="134"/>
      <c r="D18" s="134"/>
      <c r="E18" s="134"/>
      <c r="F18" s="134"/>
      <c r="G18" s="134"/>
      <c r="H18" s="134"/>
    </row>
    <row r="19" customFormat="false" ht="22.35" hidden="false" customHeight="true" outlineLevel="0" collapsed="false">
      <c r="A19" s="133"/>
      <c r="B19" s="61" t="s">
        <v>205</v>
      </c>
      <c r="C19" s="61"/>
      <c r="D19" s="61"/>
      <c r="E19" s="61"/>
      <c r="F19" s="61"/>
      <c r="G19" s="61"/>
      <c r="H19" s="61"/>
    </row>
    <row r="20" customFormat="false" ht="31.3" hidden="false" customHeight="false" outlineLevel="0" collapsed="false">
      <c r="A20" s="133"/>
      <c r="B20" s="70" t="s">
        <v>206</v>
      </c>
      <c r="C20" s="70"/>
      <c r="D20" s="70"/>
      <c r="E20" s="70"/>
      <c r="F20" s="135" t="s">
        <v>207</v>
      </c>
      <c r="G20" s="136" t="s">
        <v>208</v>
      </c>
      <c r="H20" s="136" t="s">
        <v>209</v>
      </c>
    </row>
    <row r="21" customFormat="false" ht="13.8" hidden="false" customHeight="false" outlineLevel="0" collapsed="false">
      <c r="B21" s="137" t="s">
        <v>210</v>
      </c>
      <c r="C21" s="137"/>
      <c r="D21" s="137"/>
      <c r="E21" s="137"/>
      <c r="F21" s="138" t="n">
        <v>2</v>
      </c>
      <c r="G21" s="138" t="n">
        <v>2</v>
      </c>
      <c r="H21" s="138" t="n">
        <v>1</v>
      </c>
    </row>
    <row r="22" customFormat="false" ht="29.85" hidden="false" customHeight="true" outlineLevel="0" collapsed="false">
      <c r="B22" s="59" t="s">
        <v>52</v>
      </c>
      <c r="E22" s="60"/>
      <c r="F22" s="60"/>
    </row>
    <row r="23" customFormat="false" ht="29.85" hidden="false" customHeight="true" outlineLevel="0" collapsed="false">
      <c r="B23" s="61" t="n">
        <v>1</v>
      </c>
      <c r="C23" s="22" t="s">
        <v>53</v>
      </c>
      <c r="D23" s="22"/>
      <c r="E23" s="22"/>
      <c r="F23" s="135" t="s">
        <v>207</v>
      </c>
      <c r="G23" s="136" t="s">
        <v>208</v>
      </c>
      <c r="H23" s="136" t="s">
        <v>209</v>
      </c>
    </row>
    <row r="24" customFormat="false" ht="16.5" hidden="false" customHeight="true" outlineLevel="0" collapsed="false">
      <c r="B24" s="61"/>
      <c r="C24" s="22"/>
      <c r="D24" s="22"/>
      <c r="E24" s="22"/>
      <c r="F24" s="22" t="s">
        <v>111</v>
      </c>
      <c r="G24" s="22" t="s">
        <v>111</v>
      </c>
      <c r="H24" s="22" t="s">
        <v>111</v>
      </c>
    </row>
    <row r="25" customFormat="false" ht="16.5" hidden="false" customHeight="true" outlineLevel="0" collapsed="false">
      <c r="B25" s="61" t="s">
        <v>15</v>
      </c>
      <c r="C25" s="63" t="s">
        <v>211</v>
      </c>
      <c r="D25" s="63"/>
      <c r="E25" s="63"/>
      <c r="F25" s="104" t="n">
        <f aca="false">SALARIO_BASE</f>
        <v>1332.15</v>
      </c>
      <c r="G25" s="104" t="n">
        <f aca="false">'INSERÇÃO-DE-DADOS'!F44</f>
        <v>1332.15</v>
      </c>
      <c r="H25" s="104" t="n">
        <f aca="false">SALARIO_BASE</f>
        <v>1332.15</v>
      </c>
    </row>
    <row r="26" customFormat="false" ht="16.5" hidden="false" customHeight="true" outlineLevel="0" collapsed="false">
      <c r="B26" s="61" t="s">
        <v>17</v>
      </c>
      <c r="C26" s="26" t="s">
        <v>212</v>
      </c>
      <c r="D26" s="26"/>
      <c r="E26" s="26"/>
      <c r="F26" s="139" t="n">
        <f aca="false">PERC_ADIC_PERIC%*SALARIO_BASE</f>
        <v>399.645</v>
      </c>
      <c r="G26" s="139" t="n">
        <f aca="false">'INSERÇÃO-DE-DADOS'!F45%*SALARIO_BASE</f>
        <v>399.645</v>
      </c>
      <c r="H26" s="139" t="n">
        <f aca="false">PERC_ADIC_PERIC%*SALARIO_BASE</f>
        <v>399.645</v>
      </c>
    </row>
    <row r="27" customFormat="false" ht="15.75" hidden="false" customHeight="true" outlineLevel="0" collapsed="false">
      <c r="B27" s="61" t="s">
        <v>20</v>
      </c>
      <c r="C27" s="10" t="s">
        <v>213</v>
      </c>
      <c r="D27" s="10"/>
      <c r="E27" s="10"/>
      <c r="F27" s="104" t="n">
        <f aca="false">((AL_1_A_SAL_BASE_12X36_NOT+AL_1_B_ADIC_PERIC_12X36_NOT)/DIVISOR_DE_HORAS)*DIAS_NA_SEMANA*MEDIA_ANUAL_DIAS_TRABALHO_MES*PERC_ADIC_NOT%</f>
        <v>167.511807272727</v>
      </c>
      <c r="G27" s="104"/>
      <c r="H27" s="104"/>
    </row>
    <row r="28" customFormat="false" ht="15.75" hidden="false" customHeight="true" outlineLevel="0" collapsed="false">
      <c r="B28" s="61" t="s">
        <v>23</v>
      </c>
      <c r="C28" s="26" t="s">
        <v>236</v>
      </c>
      <c r="D28" s="26"/>
      <c r="E28" s="26"/>
      <c r="F28" s="139" t="n">
        <f aca="false">(F25+F26)*PERC_HORA_NOTURNA_REDUZIDA%*(1+PERC_ADIC_NOT%)</f>
        <v>173.1102282</v>
      </c>
      <c r="G28" s="139"/>
      <c r="H28" s="139"/>
    </row>
    <row r="29" customFormat="false" ht="46.4" hidden="false" customHeight="false" outlineLevel="0" collapsed="false">
      <c r="B29" s="61" t="s">
        <v>25</v>
      </c>
      <c r="C29" s="63" t="str">
        <f aca="false">OUTROS_REMUNERACAO_1_DESCRICAO</f>
        <v>Adicional Remuneração em dobro (Natal, Ano Novo e Dia do Vigilante) – Cláusula 32ª da CCT MS000170/2018 (caso o licitante use uma CCT sem o benefício, exclua-se o item ) (em % no campo de inserção)</v>
      </c>
      <c r="D29" s="63"/>
      <c r="E29" s="63"/>
      <c r="F29" s="104" t="n">
        <f aca="false">((F25+F26+F27+F28)/DIVISOR_DE_HORAS)*(HORAS_EM_DOBRO/MESES_NO_ANO)*OUTROS_REMUNERACAO_1%</f>
        <v>14.1301161509504</v>
      </c>
      <c r="G29" s="104" t="n">
        <f aca="false">((G25+G26+G27+G28)/DIVISOR_DE_HORAS)*(HORAS_EM_DOBRO/MESES_NO_ANO)*OUTROS_REMUNERACAO_1%</f>
        <v>11.8076931818182</v>
      </c>
      <c r="H29" s="104"/>
    </row>
    <row r="30" customFormat="false" ht="16.4" hidden="false" customHeight="false" outlineLevel="0" collapsed="false">
      <c r="B30" s="61" t="s">
        <v>60</v>
      </c>
      <c r="C30" s="142" t="str">
        <f aca="false">OUTROS_REMUNERACAO_2_DESCRICAO</f>
        <v>Outras Remunerações 1 (Especificar)</v>
      </c>
      <c r="D30" s="142"/>
      <c r="E30" s="142"/>
      <c r="F30" s="139" t="n">
        <f aca="false">OUTROS_REMUNERACAO_2</f>
        <v>0</v>
      </c>
      <c r="G30" s="139"/>
      <c r="H30" s="139"/>
    </row>
    <row r="31" customFormat="false" ht="16.4" hidden="false" customHeight="false" outlineLevel="0" collapsed="false">
      <c r="B31" s="61" t="s">
        <v>72</v>
      </c>
      <c r="C31" s="63" t="str">
        <f aca="false">OUTROS_REMUNERACAO_3_DESCRICAO</f>
        <v>Outras Remunerações 2 (Especificar)</v>
      </c>
      <c r="D31" s="63"/>
      <c r="E31" s="63"/>
      <c r="F31" s="104" t="n">
        <f aca="false">OUTROS_REMUNERACAO_3</f>
        <v>0</v>
      </c>
      <c r="G31" s="104"/>
      <c r="H31" s="104"/>
    </row>
    <row r="32" customFormat="false" ht="16.5" hidden="false" customHeight="true" outlineLevel="0" collapsed="false">
      <c r="B32" s="62" t="s">
        <v>76</v>
      </c>
      <c r="C32" s="62"/>
      <c r="D32" s="62"/>
      <c r="E32" s="62"/>
      <c r="F32" s="144" t="n">
        <f aca="false">SUM(F25:F31)</f>
        <v>2086.54715162368</v>
      </c>
      <c r="G32" s="144" t="n">
        <f aca="false">SUM(G25:G31)</f>
        <v>1743.60269318182</v>
      </c>
      <c r="H32" s="144" t="n">
        <f aca="false">SUM(H25:H31)</f>
        <v>1731.795</v>
      </c>
    </row>
    <row r="33" customFormat="false" ht="16.5" hidden="false" customHeight="false" outlineLevel="0" collapsed="false">
      <c r="B33" s="59" t="s">
        <v>166</v>
      </c>
      <c r="E33" s="110"/>
      <c r="F33" s="110"/>
    </row>
    <row r="34" customFormat="false" ht="16.5" hidden="false" customHeight="false" outlineLevel="0" collapsed="false">
      <c r="B34" s="59" t="s">
        <v>167</v>
      </c>
      <c r="C34" s="76"/>
      <c r="D34" s="77"/>
      <c r="E34" s="78"/>
      <c r="F34" s="78"/>
    </row>
    <row r="35" customFormat="false" ht="31.3" hidden="false" customHeight="true" outlineLevel="0" collapsed="false">
      <c r="B35" s="61" t="s">
        <v>168</v>
      </c>
      <c r="C35" s="70" t="s">
        <v>169</v>
      </c>
      <c r="D35" s="70"/>
      <c r="E35" s="22" t="s">
        <v>65</v>
      </c>
      <c r="F35" s="135" t="s">
        <v>207</v>
      </c>
      <c r="G35" s="136" t="s">
        <v>208</v>
      </c>
      <c r="H35" s="136" t="s">
        <v>209</v>
      </c>
    </row>
    <row r="36" customFormat="false" ht="16.4" hidden="false" customHeight="false" outlineLevel="0" collapsed="false">
      <c r="B36" s="61"/>
      <c r="C36" s="70"/>
      <c r="D36" s="70"/>
      <c r="E36" s="22"/>
      <c r="F36" s="22" t="s">
        <v>111</v>
      </c>
      <c r="G36" s="22" t="s">
        <v>111</v>
      </c>
      <c r="H36" s="22" t="s">
        <v>111</v>
      </c>
    </row>
    <row r="37" customFormat="false" ht="16.5" hidden="false" customHeight="true" outlineLevel="0" collapsed="false">
      <c r="B37" s="61" t="s">
        <v>15</v>
      </c>
      <c r="C37" s="69" t="s">
        <v>171</v>
      </c>
      <c r="D37" s="69"/>
      <c r="E37" s="111" t="n">
        <f aca="false">PERC_DEC_TERC</f>
        <v>8.33333333333333</v>
      </c>
      <c r="F37" s="107" t="n">
        <f aca="false">PERC_DEC_TERC%*MOD_1_REMUNERACAO_12X36_NOT</f>
        <v>173.878929301973</v>
      </c>
      <c r="G37" s="107" t="n">
        <f aca="false">PERC_DEC_TERC%*G32</f>
        <v>145.300224431818</v>
      </c>
      <c r="H37" s="107" t="n">
        <f aca="false">PERC_DEC_TERC%*H32</f>
        <v>144.31625</v>
      </c>
    </row>
    <row r="38" s="103" customFormat="true" ht="16.5" hidden="false" customHeight="true" outlineLevel="0" collapsed="false">
      <c r="B38" s="22" t="s">
        <v>17</v>
      </c>
      <c r="C38" s="26" t="s">
        <v>173</v>
      </c>
      <c r="D38" s="26"/>
      <c r="E38" s="112" t="n">
        <f aca="false">PERC_ADIC_FERIAS</f>
        <v>2.77777777777778</v>
      </c>
      <c r="F38" s="109" t="n">
        <f aca="false">PERC_ADIC_FERIAS%*MOD_1_REMUNERACAO_12X36_NOT</f>
        <v>57.9596431006577</v>
      </c>
      <c r="G38" s="109" t="n">
        <f aca="false">PERC_ADIC_FERIAS%*G32</f>
        <v>48.4334081439394</v>
      </c>
      <c r="H38" s="109" t="n">
        <f aca="false">PERC_ADIC_FERIAS%*H32</f>
        <v>48.1054166666667</v>
      </c>
    </row>
    <row r="39" s="66" customFormat="true" ht="13.8" hidden="false" customHeight="false" outlineLevel="0" collapsed="false">
      <c r="B39" s="70" t="s">
        <v>76</v>
      </c>
      <c r="C39" s="70"/>
      <c r="D39" s="70"/>
      <c r="E39" s="70"/>
      <c r="F39" s="145" t="n">
        <f aca="false">SUM(F37:F38)</f>
        <v>231.838572402631</v>
      </c>
      <c r="G39" s="145" t="n">
        <f aca="false">SUM(G37:G38)</f>
        <v>193.733632575758</v>
      </c>
      <c r="H39" s="145" t="n">
        <f aca="false">SUM(H37:H38)</f>
        <v>192.421666666667</v>
      </c>
    </row>
    <row r="40" customFormat="false" ht="31.5" hidden="false" customHeight="true" outlineLevel="0" collapsed="false">
      <c r="A40" s="66"/>
      <c r="B40" s="146" t="s">
        <v>62</v>
      </c>
      <c r="C40" s="146"/>
      <c r="D40" s="146"/>
      <c r="E40" s="146"/>
      <c r="F40" s="146"/>
    </row>
    <row r="41" customFormat="false" ht="31.5" hidden="false" customHeight="true" outlineLevel="0" collapsed="false">
      <c r="A41" s="66"/>
      <c r="B41" s="61" t="s">
        <v>63</v>
      </c>
      <c r="C41" s="68" t="s">
        <v>64</v>
      </c>
      <c r="D41" s="68"/>
      <c r="E41" s="22" t="s">
        <v>65</v>
      </c>
      <c r="F41" s="135" t="s">
        <v>207</v>
      </c>
      <c r="G41" s="136" t="s">
        <v>208</v>
      </c>
      <c r="H41" s="136" t="s">
        <v>209</v>
      </c>
    </row>
    <row r="42" customFormat="false" ht="34.5" hidden="false" customHeight="true" outlineLevel="0" collapsed="false">
      <c r="A42" s="66"/>
      <c r="B42" s="61"/>
      <c r="C42" s="68"/>
      <c r="D42" s="68"/>
      <c r="E42" s="22"/>
      <c r="F42" s="22" t="s">
        <v>111</v>
      </c>
      <c r="G42" s="22" t="s">
        <v>111</v>
      </c>
      <c r="H42" s="22" t="s">
        <v>111</v>
      </c>
    </row>
    <row r="43" customFormat="false" ht="16.5" hidden="false" customHeight="true" outlineLevel="0" collapsed="false">
      <c r="B43" s="61" t="s">
        <v>15</v>
      </c>
      <c r="C43" s="69" t="s">
        <v>66</v>
      </c>
      <c r="D43" s="69"/>
      <c r="E43" s="111" t="n">
        <f aca="false">PERC_INSS</f>
        <v>20</v>
      </c>
      <c r="F43" s="107" t="n">
        <f aca="false">PERC_INSS%*(MOD_1_REMUNERACAO_12X36_NOT+SUBMOD_2_1_DEC_TERC_ADIC_FERIAS_12X36_NOT)</f>
        <v>463.677144805262</v>
      </c>
      <c r="G43" s="107" t="n">
        <f aca="false">PERC_INSS%*(G32+G39)</f>
        <v>387.467265151515</v>
      </c>
      <c r="H43" s="107" t="n">
        <f aca="false">PERC_INSS%*(H32+H39)</f>
        <v>384.843333333333</v>
      </c>
    </row>
    <row r="44" s="7" customFormat="true" ht="16.5" hidden="false" customHeight="true" outlineLevel="0" collapsed="false">
      <c r="B44" s="22" t="s">
        <v>17</v>
      </c>
      <c r="C44" s="26" t="s">
        <v>67</v>
      </c>
      <c r="D44" s="26"/>
      <c r="E44" s="113" t="n">
        <f aca="false">PERC_SAL_EDUCACAO</f>
        <v>2.5</v>
      </c>
      <c r="F44" s="109" t="n">
        <f aca="false">PERC_SAL_EDUCACAO%*(MOD_1_REMUNERACAO_12X36_NOT+SUBMOD_2_1_DEC_TERC_ADIC_FERIAS_12X36_NOT)</f>
        <v>57.9596431006577</v>
      </c>
      <c r="G44" s="109" t="n">
        <f aca="false">PERC_SAL_EDUCACAO%*(G32+G39)</f>
        <v>48.4334081439394</v>
      </c>
      <c r="H44" s="109" t="n">
        <f aca="false">PERC_SAL_EDUCACAO%*(H32+H39)</f>
        <v>48.1054166666667</v>
      </c>
    </row>
    <row r="45" customFormat="false" ht="16.5" hidden="false" customHeight="true" outlineLevel="0" collapsed="false">
      <c r="A45" s="7"/>
      <c r="B45" s="22" t="s">
        <v>20</v>
      </c>
      <c r="C45" s="69" t="s">
        <v>175</v>
      </c>
      <c r="D45" s="69"/>
      <c r="E45" s="111" t="n">
        <f aca="false">PERC_RAT</f>
        <v>3</v>
      </c>
      <c r="F45" s="107" t="n">
        <f aca="false">PERC_RAT%*(MOD_1_REMUNERACAO_12X36_NOT+SUBMOD_2_1_DEC_TERC_ADIC_FERIAS_12X36_NOT)</f>
        <v>69.5515717207892</v>
      </c>
      <c r="G45" s="107" t="n">
        <f aca="false">PERC_RAT%*(G32+G39)</f>
        <v>58.1200897727273</v>
      </c>
      <c r="H45" s="107" t="n">
        <f aca="false">PERC_RAT%*(H32+H39)</f>
        <v>57.7265</v>
      </c>
    </row>
    <row r="46" customFormat="false" ht="16.5" hidden="false" customHeight="true" outlineLevel="0" collapsed="false">
      <c r="A46" s="7"/>
      <c r="B46" s="22" t="s">
        <v>23</v>
      </c>
      <c r="C46" s="26" t="s">
        <v>69</v>
      </c>
      <c r="D46" s="26"/>
      <c r="E46" s="112" t="n">
        <f aca="false">PERC_SESC</f>
        <v>1.5</v>
      </c>
      <c r="F46" s="109" t="n">
        <f aca="false">PERC_SESC%*(MOD_1_REMUNERACAO_12X36_NOT+SUBMOD_2_1_DEC_TERC_ADIC_FERIAS_12X36_NOT)</f>
        <v>34.7757858603946</v>
      </c>
      <c r="G46" s="109" t="n">
        <f aca="false">PERC_SESC%*(G32+G39)</f>
        <v>29.0600448863636</v>
      </c>
      <c r="H46" s="109" t="n">
        <f aca="false">PERC_SESC%*(H32+H39)</f>
        <v>28.86325</v>
      </c>
    </row>
    <row r="47" customFormat="false" ht="16.5" hidden="false" customHeight="true" outlineLevel="0" collapsed="false">
      <c r="A47" s="7"/>
      <c r="B47" s="22" t="s">
        <v>25</v>
      </c>
      <c r="C47" s="69" t="s">
        <v>70</v>
      </c>
      <c r="D47" s="69"/>
      <c r="E47" s="111" t="n">
        <f aca="false">PERC_SENAC</f>
        <v>1</v>
      </c>
      <c r="F47" s="107" t="n">
        <f aca="false">PERC_SENAC%*(MOD_1_REMUNERACAO_12X36_NOT+SUBMOD_2_1_DEC_TERC_ADIC_FERIAS_12X36_NOT)</f>
        <v>23.1838572402631</v>
      </c>
      <c r="G47" s="107" t="n">
        <f aca="false">PERC_SENAC%*(G32+G39)</f>
        <v>19.3733632575758</v>
      </c>
      <c r="H47" s="107" t="n">
        <f aca="false">PERC_SENAC%*(H32+H39)</f>
        <v>19.2421666666667</v>
      </c>
    </row>
    <row r="48" s="6" customFormat="true" ht="16.5" hidden="false" customHeight="true" outlineLevel="0" collapsed="false">
      <c r="B48" s="22" t="s">
        <v>60</v>
      </c>
      <c r="C48" s="26" t="s">
        <v>71</v>
      </c>
      <c r="D48" s="26"/>
      <c r="E48" s="113" t="n">
        <f aca="false">PERC_SEBRAE</f>
        <v>0.6</v>
      </c>
      <c r="F48" s="109" t="n">
        <f aca="false">PERC_SEBRAE%*(MOD_1_REMUNERACAO_12X36_NOT+SUBMOD_2_1_DEC_TERC_ADIC_FERIAS_12X36_NOT)</f>
        <v>13.9103143441579</v>
      </c>
      <c r="G48" s="109" t="n">
        <f aca="false">PERC_SEBRAE%*(G32+G39)</f>
        <v>11.6240179545455</v>
      </c>
      <c r="H48" s="109" t="n">
        <f aca="false">PERC_SEBRAE%*(H32+H39)</f>
        <v>11.5453</v>
      </c>
    </row>
    <row r="49" customFormat="false" ht="16.5" hidden="false" customHeight="true" outlineLevel="0" collapsed="false">
      <c r="A49" s="6"/>
      <c r="B49" s="22" t="s">
        <v>72</v>
      </c>
      <c r="C49" s="69" t="s">
        <v>73</v>
      </c>
      <c r="D49" s="69"/>
      <c r="E49" s="111" t="n">
        <f aca="false">PERC_INCRA</f>
        <v>0.2</v>
      </c>
      <c r="F49" s="107" t="n">
        <f aca="false">PERC_INCRA%*(MOD_1_REMUNERACAO_12X36_NOT+SUBMOD_2_1_DEC_TERC_ADIC_FERIAS_12X36_NOT)</f>
        <v>4.63677144805262</v>
      </c>
      <c r="G49" s="107" t="n">
        <f aca="false">PERC_INCRA%*(G32+G39)</f>
        <v>3.87467265151515</v>
      </c>
      <c r="H49" s="107" t="n">
        <f aca="false">PERC_INCRA%*(H32+H39)</f>
        <v>3.84843333333333</v>
      </c>
    </row>
    <row r="50" customFormat="false" ht="16.5" hidden="false" customHeight="true" outlineLevel="0" collapsed="false">
      <c r="B50" s="22" t="s">
        <v>74</v>
      </c>
      <c r="C50" s="26" t="s">
        <v>75</v>
      </c>
      <c r="D50" s="26"/>
      <c r="E50" s="113" t="n">
        <f aca="false">PERC_FGTS</f>
        <v>8</v>
      </c>
      <c r="F50" s="109" t="n">
        <f aca="false">PERC_FGTS%*(MOD_1_REMUNERACAO_12X36_NOT+SUBMOD_2_1_DEC_TERC_ADIC_FERIAS_12X36_NOT)</f>
        <v>185.470857922105</v>
      </c>
      <c r="G50" s="109" t="n">
        <f aca="false">PERC_FGTS%*(G32+G39)</f>
        <v>154.986906060606</v>
      </c>
      <c r="H50" s="109" t="n">
        <f aca="false">PERC_FGTS%*(H32+H39)</f>
        <v>153.937333333333</v>
      </c>
    </row>
    <row r="51" customFormat="false" ht="13.8" hidden="false" customHeight="false" outlineLevel="0" collapsed="false">
      <c r="B51" s="70" t="s">
        <v>76</v>
      </c>
      <c r="C51" s="70"/>
      <c r="D51" s="70"/>
      <c r="E51" s="70"/>
      <c r="F51" s="147" t="n">
        <f aca="false">SUM(F43:F50)</f>
        <v>853.165946441681</v>
      </c>
      <c r="G51" s="147" t="n">
        <f aca="false">SUM(G43:G50)</f>
        <v>712.939767878788</v>
      </c>
      <c r="H51" s="147" t="n">
        <f aca="false">SUM(H43:H50)</f>
        <v>708.111733333333</v>
      </c>
    </row>
    <row r="52" customFormat="false" ht="15.75" hidden="false" customHeight="true" outlineLevel="0" collapsed="false">
      <c r="B52" s="59" t="s">
        <v>77</v>
      </c>
      <c r="C52" s="6"/>
      <c r="D52" s="6"/>
      <c r="E52" s="6"/>
      <c r="F52" s="6"/>
    </row>
    <row r="53" customFormat="false" ht="31.3" hidden="false" customHeight="true" outlineLevel="0" collapsed="false">
      <c r="B53" s="61" t="s">
        <v>78</v>
      </c>
      <c r="C53" s="62" t="s">
        <v>79</v>
      </c>
      <c r="D53" s="62"/>
      <c r="E53" s="62"/>
      <c r="F53" s="135" t="s">
        <v>207</v>
      </c>
      <c r="G53" s="136" t="s">
        <v>208</v>
      </c>
      <c r="H53" s="136" t="s">
        <v>209</v>
      </c>
    </row>
    <row r="54" customFormat="false" ht="15.75" hidden="false" customHeight="true" outlineLevel="0" collapsed="false">
      <c r="B54" s="61"/>
      <c r="C54" s="62"/>
      <c r="D54" s="62"/>
      <c r="E54" s="62"/>
      <c r="F54" s="22" t="s">
        <v>111</v>
      </c>
      <c r="G54" s="22" t="s">
        <v>111</v>
      </c>
      <c r="H54" s="22" t="s">
        <v>111</v>
      </c>
    </row>
    <row r="55" customFormat="false" ht="16.5" hidden="false" customHeight="true" outlineLevel="0" collapsed="false">
      <c r="B55" s="48" t="s">
        <v>15</v>
      </c>
      <c r="C55" s="69" t="s">
        <v>82</v>
      </c>
      <c r="D55" s="69"/>
      <c r="E55" s="69"/>
      <c r="F55" s="107" t="n">
        <f aca="false">IF(((TARIFA_TRES_LAGOAS*DIAS_TRABALHADOS_NO_MES_12X36)-(PERC_DESC_TRANSP_REMUNERACAO%*(AL_1_A_SAL_BASE_12X36_NOT/2)))&gt;0,((TARIFA_TRES_LAGOAS*DIAS_TRABALHADOS_NO_MES_12X36)-(PERC_DESC_TRANSP_REMUNERACAO%*(AL_1_A_SAL_BASE_12X36_NOT/2))),0)</f>
        <v>68.0355</v>
      </c>
      <c r="G55" s="107" t="n">
        <f aca="false">IF(((TARIFA_TRES_LAGOAS*DIAS_TRABALHADOS_NO_MES_12X36)-(PERC_DESC_TRANSP_REMUNERACAO%*(G25/2)))&gt;0,((TARIFA_TRES_LAGOAS*DIAS_TRABALHADOS_NO_MES_12X36)-(PERC_DESC_TRANSP_REMUNERACAO%*(G25/2))),0)</f>
        <v>68.0355</v>
      </c>
      <c r="H55" s="107" t="n">
        <f aca="false">IF(((TARIFA_TRES_LAGOAS*DIAS_UTEIS_TRABALHADOS_NO_MES_44HORAS)-(PERC_DESC_TRANSP_REMUNERACAO%*(SALARIO_BASE)))&gt;0,((TARIFA_TRES_LAGOAS*DIAS_UTEIS_TRABALHADOS_NO_MES_44HORAS)-(PERC_DESC_TRANSP_REMUNERACAO%*(SALARIO_BASE))),0)</f>
        <v>78.471</v>
      </c>
    </row>
    <row r="56" s="66" customFormat="true" ht="16.5" hidden="false" customHeight="true" outlineLevel="0" collapsed="false">
      <c r="B56" s="48" t="s">
        <v>17</v>
      </c>
      <c r="C56" s="26" t="s">
        <v>93</v>
      </c>
      <c r="D56" s="26"/>
      <c r="E56" s="26"/>
      <c r="F56" s="109" t="n">
        <f aca="false">(ALIMENTACAO_POR_DIA*DIAS_TRABALHADOS_NO_MES_12X36)-(SALARIO_BASE*PERC_DESC_ALIMENTACAO%)</f>
        <v>348.9285</v>
      </c>
      <c r="G56" s="109" t="n">
        <f aca="false">(ALIMENTACAO_POR_DIA*DIAS_TRABALHADOS_NO_MES_12X36)-(SALARIO_BASE*PERC_DESC_ALIMENTACAO%)</f>
        <v>348.9285</v>
      </c>
      <c r="H56" s="109" t="n">
        <f aca="false">(ALIMENTACAO_POR_DIA*DIAS_UTEIS_TRABALHADOS_NO_MES_44HORAS)-(SALARIO_BASE*PERC_DESC_ALIMENTACAO%)</f>
        <v>517.9785</v>
      </c>
    </row>
    <row r="57" s="66" customFormat="true" ht="16.4" hidden="false" customHeight="false" outlineLevel="0" collapsed="false">
      <c r="B57" s="48" t="s">
        <v>20</v>
      </c>
      <c r="C57" s="63" t="str">
        <f aca="false">OUTROS_BENEFICIOS_1_DESCRICAO</f>
        <v>Seguro de vida em grupo</v>
      </c>
      <c r="D57" s="63"/>
      <c r="E57" s="63"/>
      <c r="F57" s="107" t="n">
        <f aca="false">OUTROS_BENEFICIOS_1</f>
        <v>11.83</v>
      </c>
      <c r="G57" s="107" t="n">
        <f aca="false">OUTROS_BENEFICIOS_1</f>
        <v>11.83</v>
      </c>
      <c r="H57" s="107" t="n">
        <f aca="false">OUTROS_BENEFICIOS_1</f>
        <v>11.83</v>
      </c>
    </row>
    <row r="58" customFormat="false" ht="16.4" hidden="false" customHeight="false" outlineLevel="0" collapsed="false">
      <c r="A58" s="66"/>
      <c r="B58" s="48" t="s">
        <v>23</v>
      </c>
      <c r="C58" s="142" t="str">
        <f aca="false">OUTROS_BENEFICIOS_2_DESCRICAO</f>
        <v>Programa Familiar Assistencial e de Saúde</v>
      </c>
      <c r="D58" s="142"/>
      <c r="E58" s="142"/>
      <c r="F58" s="109" t="n">
        <f aca="false">OUTROS_BENEFICIOS_2</f>
        <v>49.79</v>
      </c>
      <c r="G58" s="109" t="n">
        <f aca="false">OUTROS_BENEFICIOS_2</f>
        <v>49.79</v>
      </c>
      <c r="H58" s="109" t="n">
        <f aca="false">OUTROS_BENEFICIOS_2</f>
        <v>49.79</v>
      </c>
    </row>
    <row r="59" customFormat="false" ht="16.4" hidden="false" customHeight="false" outlineLevel="0" collapsed="false">
      <c r="A59" s="66"/>
      <c r="B59" s="48" t="s">
        <v>25</v>
      </c>
      <c r="C59" s="63" t="str">
        <f aca="false">OUTROS_BENEFICIOS_3_DESCRICAO</f>
        <v>Outros Benefícios 1 (Especificar)</v>
      </c>
      <c r="D59" s="63"/>
      <c r="E59" s="63"/>
      <c r="F59" s="107" t="n">
        <f aca="false">OUTROS_BENEFICIOS_3</f>
        <v>0</v>
      </c>
      <c r="G59" s="107" t="n">
        <f aca="false">OUTROS_BENEFICIOS_3</f>
        <v>0</v>
      </c>
      <c r="H59" s="107" t="n">
        <f aca="false">OUTROS_BENEFICIOS_3</f>
        <v>0</v>
      </c>
    </row>
    <row r="60" customFormat="false" ht="15" hidden="false" customHeight="true" outlineLevel="0" collapsed="false">
      <c r="A60" s="66"/>
      <c r="B60" s="62" t="s">
        <v>76</v>
      </c>
      <c r="C60" s="62"/>
      <c r="D60" s="62"/>
      <c r="E60" s="62"/>
      <c r="F60" s="144" t="n">
        <f aca="false">SUM(F55:F59)</f>
        <v>478.584</v>
      </c>
      <c r="G60" s="144" t="n">
        <f aca="false">SUM(G55:G59)</f>
        <v>478.584</v>
      </c>
      <c r="H60" s="144" t="n">
        <f aca="false">SUM(H55:H59)</f>
        <v>658.0695</v>
      </c>
    </row>
    <row r="61" customFormat="false" ht="16.5" hidden="false" customHeight="false" outlineLevel="0" collapsed="false">
      <c r="A61" s="66"/>
      <c r="B61" s="59" t="s">
        <v>146</v>
      </c>
      <c r="C61" s="76"/>
      <c r="D61" s="77"/>
      <c r="E61" s="78"/>
      <c r="F61" s="78"/>
    </row>
    <row r="62" customFormat="false" ht="31.3" hidden="false" customHeight="true" outlineLevel="0" collapsed="false">
      <c r="A62" s="66"/>
      <c r="B62" s="61" t="n">
        <v>3</v>
      </c>
      <c r="C62" s="70" t="s">
        <v>147</v>
      </c>
      <c r="D62" s="70"/>
      <c r="E62" s="22" t="s">
        <v>65</v>
      </c>
      <c r="F62" s="135" t="s">
        <v>207</v>
      </c>
      <c r="G62" s="136" t="s">
        <v>208</v>
      </c>
      <c r="H62" s="136" t="s">
        <v>209</v>
      </c>
    </row>
    <row r="63" customFormat="false" ht="15" hidden="false" customHeight="true" outlineLevel="0" collapsed="false">
      <c r="A63" s="66"/>
      <c r="B63" s="61"/>
      <c r="C63" s="70"/>
      <c r="D63" s="70"/>
      <c r="E63" s="22"/>
      <c r="F63" s="22" t="s">
        <v>111</v>
      </c>
      <c r="G63" s="22" t="s">
        <v>111</v>
      </c>
      <c r="H63" s="22" t="s">
        <v>111</v>
      </c>
    </row>
    <row r="64" customFormat="false" ht="16.4" hidden="false" customHeight="false" outlineLevel="0" collapsed="false">
      <c r="A64" s="66"/>
      <c r="B64" s="61" t="s">
        <v>15</v>
      </c>
      <c r="C64" s="114" t="s">
        <v>176</v>
      </c>
      <c r="D64" s="114"/>
      <c r="E64" s="111" t="n">
        <f aca="false">PERC_AVISO_PREVIO_IND</f>
        <v>0.29105125</v>
      </c>
      <c r="F64" s="107" t="n">
        <f aca="false">PERC_AVISO_PREVIO_IND%*(MOD_1_REMUNERACAO_12X36_NOT+SUBMOD_2_1_DEC_TERC_ADIC_FERIAS_12X36_NOT+AL_2_2_FGTS_12X36_NOT+SUBMOD_2_3_BENEFICIOS_12X36_NOT)</f>
        <v>8.68043059426814</v>
      </c>
      <c r="G64" s="107" t="n">
        <f aca="false">PERC_AVISO_PREVIO_IND%*(G32+G39+G50+G60)</f>
        <v>7.48265763454722</v>
      </c>
      <c r="H64" s="107" t="n">
        <f aca="false">PERC_AVISO_PREVIO_IND%*(H32+H39+H50+H60)</f>
        <v>7.96381269954375</v>
      </c>
    </row>
    <row r="65" customFormat="false" ht="16.4" hidden="false" customHeight="false" outlineLevel="0" collapsed="false">
      <c r="A65" s="66"/>
      <c r="B65" s="22" t="s">
        <v>17</v>
      </c>
      <c r="C65" s="115" t="s">
        <v>178</v>
      </c>
      <c r="D65" s="115"/>
      <c r="E65" s="113" t="n">
        <f aca="false">PERC_FGTS_AVISO_PREV_IND</f>
        <v>0.0232841</v>
      </c>
      <c r="F65" s="109" t="n">
        <f aca="false">PERC_FGTS_AVISO_PREV_IND%*(MOD_1_REMUNERACAO_12X36_NOT+SUBMOD_2_1_DEC_TERC_ADIC_FERIAS_12X36_NOT)</f>
        <v>0.53981525036801</v>
      </c>
      <c r="G65" s="109" t="n">
        <f aca="false">PERC_FGTS_AVISO_PREV_IND%*(G32+G39)</f>
        <v>0.45109132742572</v>
      </c>
      <c r="H65" s="109" t="n">
        <f aca="false">PERC_FGTS_AVISO_PREV_IND%*(H32+H39)</f>
        <v>0.448036532883333</v>
      </c>
    </row>
    <row r="66" s="7" customFormat="true" ht="34.5" hidden="false" customHeight="true" outlineLevel="0" collapsed="false">
      <c r="B66" s="22" t="s">
        <v>20</v>
      </c>
      <c r="C66" s="114" t="s">
        <v>215</v>
      </c>
      <c r="D66" s="114"/>
      <c r="E66" s="111" t="n">
        <f aca="false">PERC_MULTA_FGTS_AV_PREV_IND</f>
        <v>0.00931364</v>
      </c>
      <c r="F66" s="107" t="n">
        <f aca="false">PERC_MULTA_FGTS_AV_PREV_IND%*(MOD_1_REMUNERACAO_12X36_NOT+SUBMOD_2_1_DEC_TERC_ADIC_FERIAS_12X36_NOT)</f>
        <v>0.215926100147204</v>
      </c>
      <c r="G66" s="107" t="n">
        <f aca="false">PERC_MULTA_FGTS_AV_PREV_IND%*(G32+G39)</f>
        <v>0.180436530970288</v>
      </c>
      <c r="H66" s="107" t="n">
        <f aca="false">PERC_MULTA_FGTS_AV_PREV_IND%*(H32+H39)</f>
        <v>0.179214613153333</v>
      </c>
    </row>
    <row r="67" s="66" customFormat="true" ht="16.4" hidden="false" customHeight="false" outlineLevel="0" collapsed="false">
      <c r="B67" s="22" t="s">
        <v>23</v>
      </c>
      <c r="C67" s="115" t="s">
        <v>182</v>
      </c>
      <c r="D67" s="115"/>
      <c r="E67" s="113" t="n">
        <f aca="false">PERC_AVISO_PREVIO_TRAB</f>
        <v>1.15572693055556</v>
      </c>
      <c r="F67" s="109" t="n">
        <f aca="false">PERC_AVISO_PREVIO_TRAB%*(MOD_1_REMUNERACAO_12X36_NOT+SUBMOD_2_1_DEC_TERC_ADIC_FERIAS_12X36_NOT+SUBMOD_2_2_GPS_FGTS_12X36_NOT+SUBMOD_2_3_BENEFICIOS_12X36_NOT)</f>
        <v>42.1856009454133</v>
      </c>
      <c r="G67" s="109" t="n">
        <f aca="false">PERC_AVISO_PREVIO_TRAB%*(G32+G39+G51+G60)</f>
        <v>36.1610787215614</v>
      </c>
      <c r="H67" s="109" t="n">
        <f aca="false">PERC_AVISO_PREVIO_TRAB%*(H32+H39+H51+H60)</f>
        <v>38.0280146527346</v>
      </c>
    </row>
    <row r="68" s="7" customFormat="true" ht="35.25" hidden="false" customHeight="true" outlineLevel="0" collapsed="false">
      <c r="B68" s="22" t="s">
        <v>25</v>
      </c>
      <c r="C68" s="114" t="s">
        <v>184</v>
      </c>
      <c r="D68" s="114"/>
      <c r="E68" s="111" t="n">
        <f aca="false">PERC_GPS_FGTS_AVISO_PREVIO_TRAB</f>
        <v>0.425307510444444</v>
      </c>
      <c r="F68" s="107" t="n">
        <f aca="false">PERC_GPS_FGTS_AVISO_PREVIO_TRAB%*(MOD_1_REMUNERACAO_12X36_NOT+SUBMOD_2_1_DEC_TERC_ADIC_FERIAS_12X36_NOT)</f>
        <v>9.8602686053557</v>
      </c>
      <c r="G68" s="107" t="n">
        <f aca="false">PERC_GPS_FGTS_AVISO_PREVIO_TRAB%*(G32+G39)</f>
        <v>8.23963689601542</v>
      </c>
      <c r="H68" s="107" t="n">
        <f aca="false">PERC_GPS_FGTS_AVISO_PREVIO_TRAB%*(H32+H39)</f>
        <v>8.18383800055707</v>
      </c>
    </row>
    <row r="69" customFormat="false" ht="32.25" hidden="false" customHeight="true" outlineLevel="0" collapsed="false">
      <c r="A69" s="7"/>
      <c r="B69" s="22" t="s">
        <v>60</v>
      </c>
      <c r="C69" s="115" t="s">
        <v>216</v>
      </c>
      <c r="D69" s="115"/>
      <c r="E69" s="113" t="n">
        <f aca="false">PERC_MULTA_FGTS_AV_PREV_TRAB</f>
        <v>0.04</v>
      </c>
      <c r="F69" s="109" t="n">
        <f aca="false">PERC_MULTA_FGTS_AV_PREV_TRAB%*(MOD_1_REMUNERACAO_12X36_NOT+SUBMOD_2_1_DEC_TERC_ADIC_FERIAS_12X36_NOT)</f>
        <v>0.927354289610523</v>
      </c>
      <c r="G69" s="109" t="n">
        <f aca="false">PERC_MULTA_FGTS_AV_PREV_TRAB%*(G32+G39)</f>
        <v>0.77493453030303</v>
      </c>
      <c r="H69" s="109" t="n">
        <f aca="false">PERC_MULTA_FGTS_AV_PREV_TRAB%*(H32+H39)</f>
        <v>0.769686666666667</v>
      </c>
    </row>
    <row r="70" customFormat="false" ht="13.8" hidden="false" customHeight="false" outlineLevel="0" collapsed="false">
      <c r="A70" s="7"/>
      <c r="B70" s="70" t="s">
        <v>76</v>
      </c>
      <c r="C70" s="70"/>
      <c r="D70" s="70"/>
      <c r="E70" s="70"/>
      <c r="F70" s="145" t="n">
        <f aca="false">SUM(F64:F69)</f>
        <v>62.4093957851629</v>
      </c>
      <c r="G70" s="145" t="n">
        <f aca="false">SUM(G64:G69)</f>
        <v>53.2898356408231</v>
      </c>
      <c r="H70" s="145" t="n">
        <f aca="false">SUM(H64:H69)</f>
        <v>55.5726031655388</v>
      </c>
    </row>
    <row r="71" customFormat="false" ht="7.5" hidden="false" customHeight="true" outlineLevel="0" collapsed="false">
      <c r="B71" s="148"/>
      <c r="C71" s="103"/>
      <c r="D71" s="47"/>
      <c r="E71" s="60"/>
      <c r="F71" s="60"/>
    </row>
    <row r="72" s="7" customFormat="true" ht="15.95" hidden="false" customHeight="true" outlineLevel="0" collapsed="false">
      <c r="B72" s="59" t="str">
        <f aca="false">'INSERÇÃO-DE-DADOS'!B75</f>
        <v>MÓDULO 4: CUSTO DE REPOSIÇÃO DO PROFISSIONAL AUSENTE/INTRAJORNADA</v>
      </c>
      <c r="C72" s="76"/>
      <c r="D72" s="77"/>
      <c r="E72" s="1"/>
      <c r="F72" s="1"/>
    </row>
    <row r="73" s="7" customFormat="true" ht="15.95" hidden="false" customHeight="true" outlineLevel="0" collapsed="false">
      <c r="B73" s="59" t="s">
        <v>99</v>
      </c>
      <c r="C73" s="76"/>
      <c r="D73" s="77"/>
      <c r="E73" s="78"/>
      <c r="F73" s="78"/>
    </row>
    <row r="74" s="7" customFormat="true" ht="31.3" hidden="false" customHeight="true" outlineLevel="0" collapsed="false">
      <c r="B74" s="61" t="s">
        <v>100</v>
      </c>
      <c r="C74" s="62" t="s">
        <v>101</v>
      </c>
      <c r="D74" s="62"/>
      <c r="E74" s="22" t="s">
        <v>65</v>
      </c>
      <c r="F74" s="135" t="s">
        <v>207</v>
      </c>
      <c r="G74" s="136" t="s">
        <v>208</v>
      </c>
      <c r="H74" s="136" t="s">
        <v>209</v>
      </c>
    </row>
    <row r="75" s="7" customFormat="true" ht="16.5" hidden="false" customHeight="true" outlineLevel="0" collapsed="false">
      <c r="B75" s="61"/>
      <c r="C75" s="62"/>
      <c r="D75" s="62"/>
      <c r="E75" s="22"/>
      <c r="F75" s="22" t="s">
        <v>111</v>
      </c>
      <c r="G75" s="22" t="s">
        <v>111</v>
      </c>
      <c r="H75" s="22" t="s">
        <v>111</v>
      </c>
    </row>
    <row r="76" s="7" customFormat="true" ht="15.95" hidden="false" customHeight="true" outlineLevel="0" collapsed="false">
      <c r="B76" s="22" t="s">
        <v>15</v>
      </c>
      <c r="C76" s="69" t="s">
        <v>188</v>
      </c>
      <c r="D76" s="69"/>
      <c r="E76" s="111" t="n">
        <f aca="false">PERC_SUBSTITUTO_FERIAS</f>
        <v>8.33333333333333</v>
      </c>
      <c r="F76" s="107" t="n">
        <f aca="false">PERC_SUBSTITUTO_FERIAS%*(MOD_1_REMUNERACAO_12X36_NOT+MOD_2_ENCARGOS_BENEFICIOS_12X36_NOT+MOD_3_PROVISAO_RESCISAO_12X36_NOT)</f>
        <v>309.378755521096</v>
      </c>
      <c r="G76" s="107" t="n">
        <f aca="false">PERC_SUBSTITUTO_FERIAS%*(G32+G112+G70)</f>
        <v>265.179160773099</v>
      </c>
      <c r="H76" s="107" t="n">
        <f aca="false">PERC_SUBSTITUTO_FERIAS%*(H32+H112+H70)</f>
        <v>278.830875263795</v>
      </c>
    </row>
    <row r="77" s="7" customFormat="true" ht="15.95" hidden="false" customHeight="true" outlineLevel="0" collapsed="false">
      <c r="B77" s="22" t="s">
        <v>17</v>
      </c>
      <c r="C77" s="26" t="s">
        <v>190</v>
      </c>
      <c r="D77" s="26"/>
      <c r="E77" s="113" t="n">
        <f aca="false">PERC_SUBSTITUTO_AUSENCIAS_LEGAIS</f>
        <v>2.22222222222222</v>
      </c>
      <c r="F77" s="109" t="n">
        <f aca="false">PERC_SUBSTITUTO_AUSENCIAS_LEGAIS%*(MOD_1_REMUNERACAO_12X36_NOT+MOD_2_ENCARGOS_BENEFICIOS_12X36_NOT+MOD_3_PROVISAO_RESCISAO_12X36_NOT)</f>
        <v>82.5010014722923</v>
      </c>
      <c r="G77" s="109" t="n">
        <f aca="false">PERC_SUBSTITUTO_AUSENCIAS_LEGAIS%*(G32+G70+G112)</f>
        <v>70.7144428728264</v>
      </c>
      <c r="H77" s="109" t="n">
        <f aca="false">PERC_SUBSTITUTO_AUSENCIAS_LEGAIS%*(H32+H70+H112)</f>
        <v>74.3549000703452</v>
      </c>
    </row>
    <row r="78" s="7" customFormat="true" ht="15.95" hidden="false" customHeight="true" outlineLevel="0" collapsed="false">
      <c r="B78" s="22" t="s">
        <v>20</v>
      </c>
      <c r="C78" s="69" t="s">
        <v>192</v>
      </c>
      <c r="D78" s="69"/>
      <c r="E78" s="111" t="n">
        <f aca="false">PERC_SUBSTITUTO_LICENCA_PATERNIDADE</f>
        <v>0.0394444444444444</v>
      </c>
      <c r="F78" s="107" t="n">
        <f aca="false">PERC_SUBSTITUTO_LICENCA_PATERNIDADE%*(MOD_1_REMUNERACAO_12X36_NOT+MOD_2_ENCARGOS_BENEFICIOS_12X36_NOT+MOD_3_PROVISAO_RESCISAO_12X36_NOT)</f>
        <v>1.46439277613319</v>
      </c>
      <c r="G78" s="107" t="n">
        <f aca="false">PERC_SUBSTITUTO_LICENCA_PATERNIDADE%*(G32+G70+G112)</f>
        <v>1.25518136099267</v>
      </c>
      <c r="H78" s="107" t="n">
        <f aca="false">PERC_SUBSTITUTO_LICENCA_PATERNIDADE%*(H32+H70+H112)</f>
        <v>1.31979947624863</v>
      </c>
    </row>
    <row r="79" s="7" customFormat="true" ht="16.5" hidden="false" customHeight="true" outlineLevel="0" collapsed="false">
      <c r="B79" s="22" t="s">
        <v>23</v>
      </c>
      <c r="C79" s="26" t="s">
        <v>194</v>
      </c>
      <c r="D79" s="26"/>
      <c r="E79" s="113" t="n">
        <f aca="false">PERC_SUBSTITUTO_ACID_TRAB</f>
        <v>0.0185302229372558</v>
      </c>
      <c r="F79" s="109" t="n">
        <f aca="false">PERC_SUBSTITUTO_ACID_TRAB%*(MOD_1_REMUNERACAO_12X36_NOT+MOD_2_ENCARGOS_BENEFICIOS_12X36_NOT+MOD_3_PROVISAO_RESCISAO_12X36_NOT)</f>
        <v>0.687942877422801</v>
      </c>
      <c r="G79" s="109" t="n">
        <f aca="false">PERC_SUBSTITUTO_ACID_TRAB%*(G32+G70+G112)</f>
        <v>0.589659476092791</v>
      </c>
      <c r="H79" s="109" t="n">
        <f aca="false">PERC_SUBSTITUTO_ACID_TRAB%*(H32+H70+H112)</f>
        <v>0.620015793651394</v>
      </c>
    </row>
    <row r="80" customFormat="false" ht="16.5" hidden="false" customHeight="true" outlineLevel="0" collapsed="false">
      <c r="A80" s="7"/>
      <c r="B80" s="22" t="s">
        <v>25</v>
      </c>
      <c r="C80" s="69" t="s">
        <v>196</v>
      </c>
      <c r="D80" s="69"/>
      <c r="E80" s="111" t="n">
        <f aca="false">PERC_SUBSTITUTO_AFAST_MATERN</f>
        <v>0.13064</v>
      </c>
      <c r="F80" s="107" t="n">
        <f aca="false">PERC_SUBSTITUTO_AFAST_MATERN%*(MOD_1_REMUNERACAO_12X36_NOT+MOD_2_ENCARGOS_BENEFICIOS_12X36_NOT+MOD_3_PROVISAO_RESCISAO_12X36_NOT)</f>
        <v>4.85006887455312</v>
      </c>
      <c r="G80" s="107" t="n">
        <f aca="false">PERC_SUBSTITUTO_AFAST_MATERN%*(G32+G70+G112)</f>
        <v>4.15716066760772</v>
      </c>
      <c r="H80" s="107" t="n">
        <f aca="false">PERC_SUBSTITUTO_AFAST_MATERN%*(H32+H70+H112)</f>
        <v>4.37117586533546</v>
      </c>
    </row>
    <row r="81" customFormat="false" ht="16.4" hidden="false" customHeight="false" outlineLevel="0" collapsed="false">
      <c r="A81" s="7"/>
      <c r="B81" s="22" t="s">
        <v>60</v>
      </c>
      <c r="C81" s="149" t="str">
        <f aca="false">OUTRAS_AUSENCIAS_DESCRICAO</f>
        <v>Outras Ausências (Especificar - em %)</v>
      </c>
      <c r="D81" s="149"/>
      <c r="E81" s="150" t="n">
        <f aca="false">PERC_SUBSTITUTO_OUTRAS_AUSENCIAS</f>
        <v>0</v>
      </c>
      <c r="F81" s="109" t="n">
        <f aca="false">PERC_SUBSTITUTO_OUTRAS_AUSENCIAS%*(MOD_1_REMUNERACAO_12X36_NOT+MOD_2_ENCARGOS_BENEFICIOS_12X36_NOT+MOD_3_PROVISAO_RESCISAO_12X36_NOT)</f>
        <v>0</v>
      </c>
      <c r="G81" s="109" t="n">
        <f aca="false">PERC_SUBSTITUTO_OUTRAS_AUSENCIAS%*(G32+G70+G112)</f>
        <v>0</v>
      </c>
      <c r="H81" s="109" t="n">
        <f aca="false">PERC_SUBSTITUTO_OUTRAS_AUSENCIAS%*(H32+H70+H112)</f>
        <v>0</v>
      </c>
    </row>
    <row r="82" customFormat="false" ht="13.8" hidden="false" customHeight="false" outlineLevel="0" collapsed="false">
      <c r="A82" s="7"/>
      <c r="B82" s="70" t="s">
        <v>76</v>
      </c>
      <c r="C82" s="70"/>
      <c r="D82" s="70"/>
      <c r="E82" s="70"/>
      <c r="F82" s="145" t="n">
        <f aca="false">SUM(F76:F81)</f>
        <v>398.882161521498</v>
      </c>
      <c r="G82" s="145" t="n">
        <f aca="false">SUM(G76:G81)</f>
        <v>341.895605150619</v>
      </c>
      <c r="H82" s="145" t="n">
        <f aca="false">SUM(H76:H81)</f>
        <v>359.496766469376</v>
      </c>
    </row>
    <row r="83" customFormat="false" ht="15" hidden="false" customHeight="true" outlineLevel="0" collapsed="false">
      <c r="A83" s="7"/>
      <c r="B83" s="59" t="str">
        <f aca="false">SUBMOD_4_2</f>
        <v>Submódulo 4.2 – Indenização devida ao empregado pelo trabalho no intervalo intrajornada</v>
      </c>
      <c r="C83" s="76"/>
      <c r="D83" s="77"/>
      <c r="E83" s="78"/>
      <c r="F83" s="78"/>
    </row>
    <row r="84" customFormat="false" ht="31.5" hidden="false" customHeight="false" outlineLevel="0" collapsed="false">
      <c r="A84" s="7"/>
      <c r="B84" s="61" t="s">
        <v>104</v>
      </c>
      <c r="C84" s="70" t="str">
        <f aca="false">'PRMS EM CAMPO GRANDE'!C84</f>
        <v>Intrajornada</v>
      </c>
      <c r="D84" s="70"/>
      <c r="E84" s="70"/>
      <c r="F84" s="135" t="s">
        <v>207</v>
      </c>
      <c r="G84" s="136" t="s">
        <v>208</v>
      </c>
      <c r="H84" s="136" t="s">
        <v>209</v>
      </c>
    </row>
    <row r="85" customFormat="false" ht="15.75" hidden="false" customHeight="false" outlineLevel="0" collapsed="false">
      <c r="A85" s="7"/>
      <c r="B85" s="61"/>
      <c r="C85" s="70"/>
      <c r="D85" s="70"/>
      <c r="E85" s="70"/>
      <c r="F85" s="22" t="s">
        <v>111</v>
      </c>
      <c r="G85" s="22" t="s">
        <v>111</v>
      </c>
      <c r="H85" s="22" t="s">
        <v>111</v>
      </c>
    </row>
    <row r="86" customFormat="false" ht="16.5" hidden="false" customHeight="true" outlineLevel="0" collapsed="false">
      <c r="A86" s="7"/>
      <c r="B86" s="61" t="s">
        <v>15</v>
      </c>
      <c r="C86" s="69" t="str">
        <f aca="false">'PRMS EM CAMPO GRANDE'!C86</f>
        <v>Trabalho durante o intervalo intrajornada</v>
      </c>
      <c r="D86" s="69"/>
      <c r="E86" s="69"/>
      <c r="F86" s="104" t="n">
        <f aca="false">((MOD_1_REMUNERACAO_12X36_NOT)/DIVISOR_DE_HORAS)*((TEMPO_INTERVALO_REFEICAO/HORA_NORMAL)+PERC_HORA_EXTRA%)*DIAS_TRABALHADOS_NO_MES_12X36</f>
        <v>213.396867779694</v>
      </c>
      <c r="G86" s="104" t="n">
        <f aca="false">((G32)/DIVISOR_DE_HORAS)*((TEMPO_INTERVALO_REFEICAO/HORA_NORMAL)+PERC_HORA_EXTRA%)*DIAS_TRABALHADOS_NO_MES_12X36</f>
        <v>178.323002711777</v>
      </c>
      <c r="H86" s="104" t="n">
        <f aca="false">((H32)/DIVISOR_DE_HORAS)*((TEMPO_INTERVALO_REFEICAO/HORA_NORMAL)+PERC_HORA_EXTRA%)*DIAS_UTEIS_TRABALHADOS_NO_MES_44HORAS</f>
        <v>259.76925</v>
      </c>
    </row>
    <row r="87" customFormat="false" ht="13.8" hidden="false" customHeight="false" outlineLevel="0" collapsed="false">
      <c r="A87" s="7"/>
      <c r="B87" s="70" t="s">
        <v>76</v>
      </c>
      <c r="C87" s="70"/>
      <c r="D87" s="70"/>
      <c r="E87" s="70"/>
      <c r="F87" s="145" t="n">
        <f aca="false">SUM(F86)</f>
        <v>213.396867779694</v>
      </c>
      <c r="G87" s="145" t="n">
        <f aca="false">SUM(G86)</f>
        <v>178.323002711777</v>
      </c>
      <c r="H87" s="145" t="n">
        <f aca="false">SUM(H86)</f>
        <v>259.76925</v>
      </c>
    </row>
    <row r="88" customFormat="false" ht="7.5" hidden="false" customHeight="true" outlineLevel="0" collapsed="false">
      <c r="B88" s="148"/>
      <c r="C88" s="103"/>
      <c r="D88" s="47"/>
      <c r="E88" s="60"/>
      <c r="F88" s="60"/>
    </row>
    <row r="89" customFormat="false" ht="16.5" hidden="false" customHeight="false" outlineLevel="0" collapsed="false">
      <c r="B89" s="59" t="s">
        <v>109</v>
      </c>
      <c r="C89" s="76"/>
      <c r="D89" s="76"/>
      <c r="E89" s="78"/>
      <c r="F89" s="78"/>
    </row>
    <row r="90" customFormat="false" ht="31.3" hidden="false" customHeight="true" outlineLevel="0" collapsed="false">
      <c r="B90" s="82" t="n">
        <v>5</v>
      </c>
      <c r="C90" s="84" t="s">
        <v>110</v>
      </c>
      <c r="D90" s="84"/>
      <c r="E90" s="84"/>
      <c r="F90" s="135" t="s">
        <v>207</v>
      </c>
      <c r="G90" s="136" t="s">
        <v>208</v>
      </c>
      <c r="H90" s="136" t="s">
        <v>209</v>
      </c>
    </row>
    <row r="91" customFormat="false" ht="15.75" hidden="false" customHeight="true" outlineLevel="0" collapsed="false">
      <c r="B91" s="82"/>
      <c r="C91" s="84"/>
      <c r="D91" s="84"/>
      <c r="E91" s="84"/>
      <c r="F91" s="84" t="s">
        <v>111</v>
      </c>
      <c r="G91" s="84" t="s">
        <v>111</v>
      </c>
      <c r="H91" s="84" t="s">
        <v>111</v>
      </c>
    </row>
    <row r="92" customFormat="false" ht="16.5" hidden="false" customHeight="true" outlineLevel="0" collapsed="false">
      <c r="B92" s="151" t="s">
        <v>15</v>
      </c>
      <c r="C92" s="152" t="s">
        <v>218</v>
      </c>
      <c r="D92" s="152"/>
      <c r="E92" s="152"/>
      <c r="F92" s="153" t="n">
        <f aca="false">VALOR_UNIFORME_POSTO</f>
        <v>72.085</v>
      </c>
      <c r="G92" s="153" t="n">
        <f aca="false">VALOR_UNIFORME_POSTO</f>
        <v>72.085</v>
      </c>
      <c r="H92" s="153" t="n">
        <f aca="false">VALOR_UNIFORME_POSTO</f>
        <v>72.085</v>
      </c>
      <c r="I92" s="140"/>
    </row>
    <row r="93" customFormat="false" ht="16.5" hidden="false" customHeight="true" outlineLevel="0" collapsed="false">
      <c r="B93" s="151" t="s">
        <v>17</v>
      </c>
      <c r="C93" s="154" t="s">
        <v>219</v>
      </c>
      <c r="D93" s="154"/>
      <c r="E93" s="154"/>
      <c r="F93" s="155"/>
      <c r="G93" s="155"/>
      <c r="H93" s="155"/>
    </row>
    <row r="94" customFormat="false" ht="16.5" hidden="false" customHeight="true" outlineLevel="0" collapsed="false">
      <c r="B94" s="151" t="s">
        <v>20</v>
      </c>
      <c r="C94" s="152" t="s">
        <v>220</v>
      </c>
      <c r="D94" s="152"/>
      <c r="E94" s="152"/>
      <c r="F94" s="153" t="n">
        <f aca="false">VALOR_EQUIP_12X36_NOT+VALOR_EQUIP_USO_COMPART_12X36</f>
        <v>24.0749520833333</v>
      </c>
      <c r="G94" s="153" t="n">
        <f aca="false">VALOR_EQUIP_12X36_DIURNO+VALOR_EQUIP_USO_COMPART_12X36+EQUIPAMENTOS!J68</f>
        <v>23.24841875</v>
      </c>
      <c r="H94" s="153" t="n">
        <f aca="false">VALOR_EQUIP_POSTO_44_HORAS</f>
        <v>78.1112083333333</v>
      </c>
    </row>
    <row r="95" customFormat="false" ht="16.4" hidden="false" customHeight="true" outlineLevel="0" collapsed="false">
      <c r="B95" s="151" t="s">
        <v>23</v>
      </c>
      <c r="C95" s="156" t="s">
        <v>221</v>
      </c>
      <c r="D95" s="156"/>
      <c r="E95" s="156"/>
      <c r="F95" s="155"/>
      <c r="G95" s="155"/>
      <c r="H95" s="155"/>
    </row>
    <row r="96" customFormat="false" ht="16.5" hidden="false" customHeight="true" outlineLevel="0" collapsed="false">
      <c r="B96" s="83" t="s">
        <v>76</v>
      </c>
      <c r="C96" s="83"/>
      <c r="D96" s="83"/>
      <c r="E96" s="83"/>
      <c r="F96" s="157" t="n">
        <f aca="false">SUM(F92:F95)</f>
        <v>96.1599520833333</v>
      </c>
      <c r="G96" s="157" t="n">
        <f aca="false">SUM(G92:G95)</f>
        <v>95.33341875</v>
      </c>
      <c r="H96" s="157" t="n">
        <f aca="false">SUM(H92:H95)</f>
        <v>150.196208333333</v>
      </c>
    </row>
    <row r="97" customFormat="false" ht="7.5" hidden="false" customHeight="true" outlineLevel="0" collapsed="false">
      <c r="B97" s="148"/>
      <c r="C97" s="103"/>
      <c r="D97" s="47"/>
      <c r="E97" s="60"/>
      <c r="F97" s="60"/>
    </row>
    <row r="98" customFormat="false" ht="15" hidden="false" customHeight="true" outlineLevel="0" collapsed="false">
      <c r="B98" s="85" t="s">
        <v>113</v>
      </c>
      <c r="C98" s="85"/>
      <c r="D98" s="85"/>
      <c r="E98" s="85"/>
      <c r="F98" s="85"/>
    </row>
    <row r="99" customFormat="false" ht="31.3" hidden="false" customHeight="true" outlineLevel="0" collapsed="false">
      <c r="B99" s="61" t="n">
        <v>6</v>
      </c>
      <c r="C99" s="70" t="s">
        <v>114</v>
      </c>
      <c r="D99" s="70"/>
      <c r="E99" s="22" t="s">
        <v>65</v>
      </c>
      <c r="F99" s="135" t="s">
        <v>207</v>
      </c>
      <c r="G99" s="136" t="s">
        <v>208</v>
      </c>
      <c r="H99" s="136" t="s">
        <v>209</v>
      </c>
    </row>
    <row r="100" customFormat="false" ht="16.4" hidden="false" customHeight="false" outlineLevel="0" collapsed="false">
      <c r="B100" s="61"/>
      <c r="C100" s="70"/>
      <c r="D100" s="70"/>
      <c r="E100" s="22"/>
      <c r="F100" s="22" t="s">
        <v>111</v>
      </c>
      <c r="G100" s="22" t="s">
        <v>111</v>
      </c>
      <c r="H100" s="22" t="s">
        <v>111</v>
      </c>
    </row>
    <row r="101" customFormat="false" ht="16.5" hidden="false" customHeight="true" outlineLevel="0" collapsed="false">
      <c r="B101" s="61" t="s">
        <v>15</v>
      </c>
      <c r="C101" s="69" t="s">
        <v>117</v>
      </c>
      <c r="D101" s="69"/>
      <c r="E101" s="158" t="n">
        <f aca="false">PERC_CUSTOS_INDIRETOS</f>
        <v>4.85</v>
      </c>
      <c r="F101" s="107" t="n">
        <f aca="false">PERC_CUSTOS_INDIRETOS_TL%*(MOD_1_REMUNERACAO_12X36_NOT+MOD_2_ENCARGOS_BENEFICIOS_12X36_NOT+MOD_3_PROVISAO_RESCISAO_12X36_NOT+MOD_4_CUSTO_REPOSICAO_12X36_NOT+MOD_5_INSUMOS_12X36_NOT)</f>
        <v>214.417726310427</v>
      </c>
      <c r="G101" s="107" t="n">
        <f aca="false">PERC_CUSTOS_INDIRETOS_TL%*(G111+G112+G113+G114+G115)</f>
        <v>184.188544860645</v>
      </c>
      <c r="H101" s="107" t="n">
        <f aca="false">PERC_CUSTOS_INDIRETOS_TL%*(H111+H112+H113+H114+H115)</f>
        <v>199.59848730646</v>
      </c>
    </row>
    <row r="102" customFormat="false" ht="15.75" hidden="false" customHeight="true" outlineLevel="0" collapsed="false">
      <c r="B102" s="22" t="s">
        <v>17</v>
      </c>
      <c r="C102" s="26" t="s">
        <v>118</v>
      </c>
      <c r="D102" s="26"/>
      <c r="E102" s="159" t="n">
        <f aca="false">PERC_LUCRO</f>
        <v>5.45</v>
      </c>
      <c r="F102" s="109" t="n">
        <f aca="false">PERC_LUCRO_TL%*(MOD_1_REMUNERACAO_12X36_NOT+MOD_2_ENCARGOS_BENEFICIOS_12X36_NOT+MOD_3_PROVISAO_RESCISAO_12X36_NOT+MOD_4_CUSTO_REPOSICAO_12X36_NOT+MOD_5_INSUMOS_12X36_NOT+AL_6_A_CUSTOS_INDIRETOS_12X36_NOT)</f>
        <v>252.629396680172</v>
      </c>
      <c r="G102" s="109" t="n">
        <f aca="false">PERC_LUCRO_TL%*(G111+G112+G113+G114+G115+G101)</f>
        <v>217.013032290888</v>
      </c>
      <c r="H102" s="109" t="n">
        <f aca="false">PERC_LUCRO_TL%*(H111+H112+H113+H114+H115+H101)</f>
        <v>235.169201232471</v>
      </c>
    </row>
    <row r="103" customFormat="false" ht="16.5" hidden="false" customHeight="true" outlineLevel="0" collapsed="false">
      <c r="B103" s="22" t="s">
        <v>20</v>
      </c>
      <c r="C103" s="69" t="s">
        <v>119</v>
      </c>
      <c r="D103" s="69"/>
      <c r="E103" s="158" t="n">
        <f aca="false">SUM(E104:E106)</f>
        <v>8.65</v>
      </c>
      <c r="F103" s="107" t="n">
        <f aca="false">SUM(F104:F106)</f>
        <v>462.851336901309</v>
      </c>
      <c r="G103" s="107" t="n">
        <f aca="false">SUM(G104:G106)</f>
        <v>397.597324146751</v>
      </c>
      <c r="H103" s="107" t="n">
        <f aca="false">SUM(H104:H106)</f>
        <v>430.861889466744</v>
      </c>
    </row>
    <row r="104" customFormat="false" ht="15.75" hidden="false" customHeight="true" outlineLevel="0" collapsed="false">
      <c r="B104" s="92" t="s">
        <v>120</v>
      </c>
      <c r="C104" s="160" t="s">
        <v>121</v>
      </c>
      <c r="D104" s="160"/>
      <c r="E104" s="161" t="n">
        <f aca="false">PERC_PIS</f>
        <v>0.65</v>
      </c>
      <c r="F104" s="162" t="n">
        <f aca="false">((MOD_1_REMUNERACAO_12X36_NOT+MOD_2_ENCARGOS_BENEFICIOS_12X36_NOT+MOD_3_PROVISAO_RESCISAO_12X36_NOT+MOD_4_CUSTO_REPOSICAO_12X36_NOT+MOD_5_INSUMOS_12X36_NOT+AL_6_A_CUSTOS_INDIRETOS_12X36_NOT+AL_6_B_LUCRO_12X36_NOT)*PERC_PIS%)/(1-E103%)</f>
        <v>34.7807362989423</v>
      </c>
      <c r="G104" s="162" t="n">
        <f aca="false">((G111+G112+G113+G114+G115+G101+G102)*PERC_PIS%)/(1-E103%)</f>
        <v>29.8772555717211</v>
      </c>
      <c r="H104" s="162" t="n">
        <f aca="false">((H111+H112+H113+H114+H115+H101+H102)*PERC_PIS%)/(1-E103%)</f>
        <v>32.3769049888305</v>
      </c>
    </row>
    <row r="105" customFormat="false" ht="16.5" hidden="false" customHeight="true" outlineLevel="0" collapsed="false">
      <c r="B105" s="92" t="s">
        <v>122</v>
      </c>
      <c r="C105" s="163" t="s">
        <v>123</v>
      </c>
      <c r="D105" s="163"/>
      <c r="E105" s="164" t="n">
        <f aca="false">PERC_COFINS</f>
        <v>3</v>
      </c>
      <c r="F105" s="165" t="n">
        <f aca="false">((MOD_1_REMUNERACAO_12X36_NOT+MOD_2_ENCARGOS_BENEFICIOS_12X36_NOT+MOD_3_PROVISAO_RESCISAO_12X36_NOT+MOD_4_CUSTO_REPOSICAO_12X36_NOT+MOD_5_INSUMOS_12X36_NOT+AL_6_A_CUSTOS_INDIRETOS_12X36_NOT+AL_6_B_LUCRO_12X36_NOT)*PERC_COFINS%)/(1-E103%)</f>
        <v>160.526475225888</v>
      </c>
      <c r="G105" s="165" t="n">
        <f aca="false">((G111+G112+G113+G114+G115+G101+G102)*PERC_COFINS%)/(1-E103%)</f>
        <v>137.895025715636</v>
      </c>
      <c r="H105" s="165" t="n">
        <f aca="false">((H111+H112+H113+H114+H115+H101+H102)*PERC_COFINS%)/(1-E103%)</f>
        <v>149.431869179218</v>
      </c>
    </row>
    <row r="106" s="91" customFormat="true" ht="16.5" hidden="false" customHeight="true" outlineLevel="0" collapsed="false">
      <c r="B106" s="92" t="s">
        <v>124</v>
      </c>
      <c r="C106" s="160" t="s">
        <v>125</v>
      </c>
      <c r="D106" s="160"/>
      <c r="E106" s="161" t="n">
        <f aca="false">PERC_ISS</f>
        <v>5</v>
      </c>
      <c r="F106" s="162" t="n">
        <f aca="false">((MOD_1_REMUNERACAO_12X36_NOT+MOD_2_ENCARGOS_BENEFICIOS_12X36_NOT+MOD_3_PROVISAO_RESCISAO_12X36_NOT+MOD_4_CUSTO_REPOSICAO_12X36_NOT+MOD_5_INSUMOS_12X36_NOT+AL_6_A_CUSTOS_INDIRETOS_12X36_NOT+AL_6_B_LUCRO_12X36_NOT)*PERC_ISS%)/(1-E103%)</f>
        <v>267.544125376479</v>
      </c>
      <c r="G106" s="162" t="n">
        <f aca="false">((G111+G112+G113+G114+G115+G101+G102)*PERC_ISS%)/(1-E103%)</f>
        <v>229.825042859393</v>
      </c>
      <c r="H106" s="162" t="n">
        <f aca="false">((H111+H112+H113+H114+H115+H101+H102)*PERC_ISS%)/(1-E103%)</f>
        <v>249.053115298696</v>
      </c>
    </row>
    <row r="107" customFormat="false" ht="16.4" hidden="false" customHeight="false" outlineLevel="0" collapsed="false">
      <c r="A107" s="91"/>
      <c r="B107" s="70" t="s">
        <v>76</v>
      </c>
      <c r="C107" s="70"/>
      <c r="D107" s="70"/>
      <c r="E107" s="70"/>
      <c r="F107" s="166" t="n">
        <f aca="false">AL_6_A_CUSTOS_INDIRETOS_12X36_NOT+AL_6_B_LUCRO_12X36_NOT+AL_6_C_TRIBUTOS_12X36_NOT</f>
        <v>929.898459891909</v>
      </c>
      <c r="G107" s="166" t="n">
        <f aca="false">SUM(G101:G103)</f>
        <v>798.798901298283</v>
      </c>
      <c r="H107" s="166" t="n">
        <f aca="false">SUM(H101:H103)</f>
        <v>865.629578005676</v>
      </c>
    </row>
    <row r="108" customFormat="false" ht="20.25" hidden="false" customHeight="false" outlineLevel="0" collapsed="false">
      <c r="A108" s="91"/>
      <c r="B108" s="167" t="s">
        <v>223</v>
      </c>
      <c r="C108" s="168"/>
      <c r="D108" s="168"/>
      <c r="E108" s="168"/>
      <c r="F108" s="169"/>
    </row>
    <row r="109" customFormat="false" ht="31.5" hidden="false" customHeight="true" outlineLevel="0" collapsed="false">
      <c r="A109" s="91"/>
      <c r="B109" s="22" t="s">
        <v>224</v>
      </c>
      <c r="C109" s="62" t="s">
        <v>225</v>
      </c>
      <c r="D109" s="62"/>
      <c r="E109" s="62"/>
      <c r="F109" s="135" t="s">
        <v>207</v>
      </c>
      <c r="G109" s="136" t="s">
        <v>208</v>
      </c>
      <c r="H109" s="136" t="s">
        <v>209</v>
      </c>
    </row>
    <row r="110" s="86" customFormat="true" ht="16.5" hidden="false" customHeight="true" outlineLevel="0" collapsed="false">
      <c r="B110" s="22"/>
      <c r="C110" s="62"/>
      <c r="D110" s="62"/>
      <c r="E110" s="62"/>
      <c r="F110" s="22" t="s">
        <v>226</v>
      </c>
      <c r="G110" s="22" t="s">
        <v>226</v>
      </c>
      <c r="H110" s="22" t="s">
        <v>226</v>
      </c>
    </row>
    <row r="111" s="91" customFormat="true" ht="16.5" hidden="false" customHeight="true" outlineLevel="0" collapsed="false">
      <c r="B111" s="61" t="n">
        <v>1</v>
      </c>
      <c r="C111" s="69" t="s">
        <v>53</v>
      </c>
      <c r="D111" s="69"/>
      <c r="E111" s="69"/>
      <c r="F111" s="107" t="n">
        <f aca="false">MOD_1_REMUNERACAO_12X36_NOT</f>
        <v>2086.54715162368</v>
      </c>
      <c r="G111" s="107" t="n">
        <f aca="false">G32</f>
        <v>1743.60269318182</v>
      </c>
      <c r="H111" s="107" t="n">
        <f aca="false">H32</f>
        <v>1731.795</v>
      </c>
    </row>
    <row r="112" s="87" customFormat="true" ht="16.5" hidden="false" customHeight="true" outlineLevel="0" collapsed="false">
      <c r="B112" s="22" t="n">
        <v>2</v>
      </c>
      <c r="C112" s="26" t="s">
        <v>227</v>
      </c>
      <c r="D112" s="26"/>
      <c r="E112" s="26"/>
      <c r="F112" s="109" t="n">
        <f aca="false">MOD_2_ENCARGOS_BENEFICIOS_12X36_NOT</f>
        <v>1563.58851884431</v>
      </c>
      <c r="G112" s="109" t="n">
        <f aca="false">G39+G51+G60</f>
        <v>1385.25740045455</v>
      </c>
      <c r="H112" s="109" t="n">
        <f aca="false">H39+H51+H60</f>
        <v>1558.6029</v>
      </c>
    </row>
    <row r="113" customFormat="false" ht="16.5" hidden="false" customHeight="true" outlineLevel="0" collapsed="false">
      <c r="A113" s="87"/>
      <c r="B113" s="22" t="n">
        <v>3</v>
      </c>
      <c r="C113" s="69" t="s">
        <v>147</v>
      </c>
      <c r="D113" s="69"/>
      <c r="E113" s="69"/>
      <c r="F113" s="107" t="n">
        <f aca="false">MOD_3_PROVISAO_RESCISAO_12X36_NOT</f>
        <v>62.4093957851629</v>
      </c>
      <c r="G113" s="107" t="n">
        <f aca="false">G70</f>
        <v>53.2898356408231</v>
      </c>
      <c r="H113" s="107" t="n">
        <f aca="false">H70</f>
        <v>55.5726031655388</v>
      </c>
    </row>
    <row r="114" customFormat="false" ht="16.5" hidden="false" customHeight="true" outlineLevel="0" collapsed="false">
      <c r="A114" s="87"/>
      <c r="B114" s="22" t="n">
        <v>4</v>
      </c>
      <c r="C114" s="26" t="str">
        <f aca="false">'PRMS EM CAMPO GRANDE'!C114</f>
        <v>Custo de Reposição do Profissional Ausente/Intrajornada</v>
      </c>
      <c r="D114" s="26"/>
      <c r="E114" s="26"/>
      <c r="F114" s="109" t="n">
        <f aca="false">MOD_4_CUSTO_REPOSICAO_12X36_NOT</f>
        <v>612.279029301191</v>
      </c>
      <c r="G114" s="109" t="n">
        <f aca="false">G82+G87</f>
        <v>520.218607862396</v>
      </c>
      <c r="H114" s="109" t="n">
        <f aca="false">H82+H87</f>
        <v>619.266016469376</v>
      </c>
    </row>
    <row r="115" customFormat="false" ht="16.5" hidden="false" customHeight="true" outlineLevel="0" collapsed="false">
      <c r="A115" s="87"/>
      <c r="B115" s="22" t="n">
        <v>5</v>
      </c>
      <c r="C115" s="69" t="s">
        <v>110</v>
      </c>
      <c r="D115" s="69"/>
      <c r="E115" s="69"/>
      <c r="F115" s="107" t="n">
        <f aca="false">MOD_5_INSUMOS_12X36_NOT</f>
        <v>96.1599520833333</v>
      </c>
      <c r="G115" s="107" t="n">
        <f aca="false">G96</f>
        <v>95.33341875</v>
      </c>
      <c r="H115" s="107" t="n">
        <f aca="false">H96</f>
        <v>150.196208333333</v>
      </c>
    </row>
    <row r="116" customFormat="false" ht="16.5" hidden="false" customHeight="true" outlineLevel="0" collapsed="false">
      <c r="A116" s="87"/>
      <c r="B116" s="22" t="n">
        <v>6</v>
      </c>
      <c r="C116" s="26" t="s">
        <v>114</v>
      </c>
      <c r="D116" s="26"/>
      <c r="E116" s="26"/>
      <c r="F116" s="109" t="n">
        <f aca="false">MOD_6_CUSTOS_IND_LUCRO_TRIB_12X36_NOT</f>
        <v>929.898459891909</v>
      </c>
      <c r="G116" s="109" t="n">
        <f aca="false">G107</f>
        <v>798.798901298283</v>
      </c>
      <c r="H116" s="109" t="n">
        <f aca="false">H107</f>
        <v>865.629578005676</v>
      </c>
    </row>
    <row r="117" customFormat="false" ht="16.5" hidden="false" customHeight="true" outlineLevel="0" collapsed="false">
      <c r="B117" s="62" t="s">
        <v>229</v>
      </c>
      <c r="C117" s="62"/>
      <c r="D117" s="62"/>
      <c r="E117" s="62"/>
      <c r="F117" s="166" t="n">
        <f aca="false">SUM(F111:F116)</f>
        <v>5350.88250752959</v>
      </c>
      <c r="G117" s="166" t="n">
        <f aca="false">SUM(G111:G116)</f>
        <v>4596.50085718787</v>
      </c>
      <c r="H117" s="166" t="n">
        <f aca="false">SUM(H111:H116)</f>
        <v>4981.06230597392</v>
      </c>
    </row>
    <row r="118" customFormat="false" ht="16.5" hidden="false" customHeight="true" outlineLevel="0" collapsed="false">
      <c r="B118" s="62" t="s">
        <v>230</v>
      </c>
      <c r="C118" s="62"/>
      <c r="D118" s="62"/>
      <c r="E118" s="62"/>
      <c r="F118" s="166" t="n">
        <f aca="false">VALOR_TOTAL_EMPREGADO_12x36_NOT*EMPREG_POR_POSTO_12X36_NOT</f>
        <v>10701.7650150592</v>
      </c>
      <c r="G118" s="166" t="n">
        <f aca="false">G117*G21</f>
        <v>9193.00171437574</v>
      </c>
      <c r="H118" s="166" t="n">
        <f aca="false">H117*H21</f>
        <v>4981.06230597392</v>
      </c>
    </row>
  </sheetData>
  <mergeCells count="118">
    <mergeCell ref="B1:H1"/>
    <mergeCell ref="B2:D2"/>
    <mergeCell ref="F2:H2"/>
    <mergeCell ref="B3:F3"/>
    <mergeCell ref="B4:H4"/>
    <mergeCell ref="B5:C5"/>
    <mergeCell ref="D5:H5"/>
    <mergeCell ref="B6:C6"/>
    <mergeCell ref="D6:E6"/>
    <mergeCell ref="F6:H6"/>
    <mergeCell ref="B7:F7"/>
    <mergeCell ref="C8:E8"/>
    <mergeCell ref="F8:H8"/>
    <mergeCell ref="D9:H9"/>
    <mergeCell ref="C10:E10"/>
    <mergeCell ref="F10:H10"/>
    <mergeCell ref="C11:E11"/>
    <mergeCell ref="F11:H11"/>
    <mergeCell ref="C12:E12"/>
    <mergeCell ref="F12:H12"/>
    <mergeCell ref="B13:H13"/>
    <mergeCell ref="E14:H14"/>
    <mergeCell ref="D15:H15"/>
    <mergeCell ref="D16:H16"/>
    <mergeCell ref="C17:E17"/>
    <mergeCell ref="F17:H17"/>
    <mergeCell ref="B18:H18"/>
    <mergeCell ref="B19:H19"/>
    <mergeCell ref="B20:E20"/>
    <mergeCell ref="B21:E21"/>
    <mergeCell ref="B23:B24"/>
    <mergeCell ref="C23:E24"/>
    <mergeCell ref="C25:E25"/>
    <mergeCell ref="C26:E26"/>
    <mergeCell ref="C27:E27"/>
    <mergeCell ref="C28:E28"/>
    <mergeCell ref="C29:E29"/>
    <mergeCell ref="C30:E30"/>
    <mergeCell ref="C31:E31"/>
    <mergeCell ref="B32:E32"/>
    <mergeCell ref="B35:B36"/>
    <mergeCell ref="C35:D36"/>
    <mergeCell ref="E35:E36"/>
    <mergeCell ref="C37:D37"/>
    <mergeCell ref="C38:D38"/>
    <mergeCell ref="B39:E39"/>
    <mergeCell ref="B40:F40"/>
    <mergeCell ref="B41:B42"/>
    <mergeCell ref="C41:D42"/>
    <mergeCell ref="E41:E42"/>
    <mergeCell ref="C43:D43"/>
    <mergeCell ref="C44:D44"/>
    <mergeCell ref="C45:D45"/>
    <mergeCell ref="C46:D46"/>
    <mergeCell ref="C47:D47"/>
    <mergeCell ref="C48:D48"/>
    <mergeCell ref="C49:D49"/>
    <mergeCell ref="C50:D50"/>
    <mergeCell ref="B51:E51"/>
    <mergeCell ref="B53:B54"/>
    <mergeCell ref="C53:E54"/>
    <mergeCell ref="C55:E55"/>
    <mergeCell ref="C56:E56"/>
    <mergeCell ref="C57:E57"/>
    <mergeCell ref="C58:E58"/>
    <mergeCell ref="C59:E59"/>
    <mergeCell ref="B60:E60"/>
    <mergeCell ref="B62:B63"/>
    <mergeCell ref="C62:D63"/>
    <mergeCell ref="E62:E63"/>
    <mergeCell ref="C64:D64"/>
    <mergeCell ref="C65:D65"/>
    <mergeCell ref="C66:D66"/>
    <mergeCell ref="C67:D67"/>
    <mergeCell ref="C68:D68"/>
    <mergeCell ref="C69:D69"/>
    <mergeCell ref="B70:E70"/>
    <mergeCell ref="B74:B75"/>
    <mergeCell ref="C74:D75"/>
    <mergeCell ref="E74:E75"/>
    <mergeCell ref="C76:D76"/>
    <mergeCell ref="C77:D77"/>
    <mergeCell ref="C78:D78"/>
    <mergeCell ref="C79:D79"/>
    <mergeCell ref="C80:D80"/>
    <mergeCell ref="C81:D81"/>
    <mergeCell ref="B82:E82"/>
    <mergeCell ref="B84:B85"/>
    <mergeCell ref="C84:E85"/>
    <mergeCell ref="C86:E86"/>
    <mergeCell ref="B87:E87"/>
    <mergeCell ref="C90:E91"/>
    <mergeCell ref="C92:E92"/>
    <mergeCell ref="C93:E93"/>
    <mergeCell ref="C94:E94"/>
    <mergeCell ref="C95:E95"/>
    <mergeCell ref="B96:E96"/>
    <mergeCell ref="B98:F98"/>
    <mergeCell ref="B99:B100"/>
    <mergeCell ref="C99:D100"/>
    <mergeCell ref="E99:E100"/>
    <mergeCell ref="C101:D101"/>
    <mergeCell ref="C102:D102"/>
    <mergeCell ref="C103:D103"/>
    <mergeCell ref="C104:D104"/>
    <mergeCell ref="C105:D105"/>
    <mergeCell ref="C106:D106"/>
    <mergeCell ref="B107:E107"/>
    <mergeCell ref="B109:B110"/>
    <mergeCell ref="C109:E110"/>
    <mergeCell ref="C111:E111"/>
    <mergeCell ref="C112:E112"/>
    <mergeCell ref="C113:E113"/>
    <mergeCell ref="C114:E114"/>
    <mergeCell ref="C115:E115"/>
    <mergeCell ref="C116:E116"/>
    <mergeCell ref="B117:E117"/>
    <mergeCell ref="B118:E118"/>
  </mergeCells>
  <printOptions headings="false" gridLines="false" gridLinesSet="true" horizontalCentered="true" verticalCentered="false"/>
  <pageMargins left="0.0798611111111111" right="0.05" top="0.196527777777778" bottom="0.157638888888889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18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selection pane="topLeft" activeCell="F29" activeCellId="0" sqref="F29"/>
    </sheetView>
  </sheetViews>
  <sheetFormatPr defaultRowHeight="16.5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8.86"/>
    <col collapsed="false" customWidth="true" hidden="false" outlineLevel="0" max="3" min="3" style="1" width="52.58"/>
    <col collapsed="false" customWidth="true" hidden="false" outlineLevel="0" max="4" min="4" style="1" width="7.87"/>
    <col collapsed="false" customWidth="true" hidden="false" outlineLevel="0" max="5" min="5" style="1" width="11.88"/>
    <col collapsed="false" customWidth="true" hidden="false" outlineLevel="0" max="8" min="6" style="1" width="15.31"/>
    <col collapsed="false" customWidth="true" hidden="false" outlineLevel="0" max="9" min="9" style="1" width="11.94"/>
    <col collapsed="false" customWidth="true" hidden="false" outlineLevel="0" max="1025" min="10" style="1" width="9.13"/>
  </cols>
  <sheetData>
    <row r="1" customFormat="false" ht="17.35" hidden="false" customHeight="false" outlineLevel="0" collapsed="false">
      <c r="B1" s="117" t="str">
        <f aca="false">RAMO</f>
        <v>RAMO: MINISTÉRIO PÚBLICO FEDERAL</v>
      </c>
      <c r="C1" s="117"/>
      <c r="D1" s="117"/>
      <c r="E1" s="117"/>
      <c r="F1" s="117"/>
      <c r="G1" s="117"/>
      <c r="H1" s="117"/>
    </row>
    <row r="2" customFormat="false" ht="17.35" hidden="false" customHeight="false" outlineLevel="0" collapsed="false">
      <c r="B2" s="118" t="str">
        <f aca="false">UG</f>
        <v>UNIDADE GESTORA (SIGLA): PRMS</v>
      </c>
      <c r="C2" s="118"/>
      <c r="D2" s="118"/>
      <c r="E2" s="119" t="s">
        <v>3</v>
      </c>
      <c r="F2" s="120" t="str">
        <f aca="false">DATA_DO_ORCAMENTO_ESTIMATIVO</f>
        <v>XX/XX/20XX</v>
      </c>
      <c r="G2" s="120"/>
      <c r="H2" s="120"/>
    </row>
    <row r="3" s="7" customFormat="true" ht="19.7" hidden="false" customHeight="false" outlineLevel="0" collapsed="false">
      <c r="B3" s="8" t="s">
        <v>237</v>
      </c>
      <c r="C3" s="8"/>
      <c r="D3" s="8"/>
      <c r="E3" s="8"/>
      <c r="F3" s="8"/>
      <c r="G3" s="8"/>
      <c r="H3" s="8"/>
    </row>
    <row r="4" customFormat="false" ht="15.95" hidden="false" customHeight="true" outlineLevel="0" collapsed="false">
      <c r="A4" s="7"/>
      <c r="B4" s="9" t="s">
        <v>6</v>
      </c>
      <c r="C4" s="9"/>
      <c r="D4" s="9"/>
      <c r="E4" s="9"/>
      <c r="F4" s="9"/>
      <c r="G4" s="9"/>
      <c r="H4" s="9"/>
    </row>
    <row r="5" customFormat="false" ht="15.95" hidden="false" customHeight="true" outlineLevel="0" collapsed="false">
      <c r="A5" s="7"/>
      <c r="B5" s="15" t="s">
        <v>199</v>
      </c>
      <c r="C5" s="15"/>
      <c r="D5" s="49" t="str">
        <f aca="false">NUMERO_PROCESSO</f>
        <v>1.21.000.000635/2019-40</v>
      </c>
      <c r="E5" s="49"/>
      <c r="F5" s="49"/>
      <c r="G5" s="49"/>
      <c r="H5" s="49"/>
    </row>
    <row r="6" customFormat="false" ht="15.75" hidden="false" customHeight="true" outlineLevel="0" collapsed="false">
      <c r="A6" s="7"/>
      <c r="B6" s="12" t="s">
        <v>200</v>
      </c>
      <c r="C6" s="12"/>
      <c r="D6" s="121" t="str">
        <f aca="false">MODALIDADE_DE_LICITACAO</f>
        <v>Pregão nº</v>
      </c>
      <c r="E6" s="121"/>
      <c r="F6" s="122" t="str">
        <f aca="false">NUMERO_PREGAO</f>
        <v>XX/20XX</v>
      </c>
      <c r="G6" s="122"/>
      <c r="H6" s="122"/>
    </row>
    <row r="7" s="6" customFormat="true" ht="15.75" hidden="false" customHeight="true" outlineLevel="0" collapsed="false">
      <c r="B7" s="123" t="s">
        <v>201</v>
      </c>
      <c r="C7" s="123"/>
      <c r="D7" s="123"/>
      <c r="E7" s="123"/>
      <c r="F7" s="123"/>
      <c r="G7" s="123"/>
      <c r="H7" s="123"/>
    </row>
    <row r="8" s="7" customFormat="true" ht="18" hidden="false" customHeight="true" outlineLevel="0" collapsed="false">
      <c r="B8" s="48" t="s">
        <v>15</v>
      </c>
      <c r="C8" s="15" t="s">
        <v>16</v>
      </c>
      <c r="D8" s="15"/>
      <c r="E8" s="15"/>
      <c r="F8" s="124" t="str">
        <f aca="false">DATA_APRESENTACAO_PROPOSTA</f>
        <v>XX/XX/20XX</v>
      </c>
      <c r="G8" s="124"/>
      <c r="H8" s="124"/>
    </row>
    <row r="9" customFormat="false" ht="46.4" hidden="false" customHeight="false" outlineLevel="0" collapsed="false">
      <c r="A9" s="7"/>
      <c r="B9" s="61" t="s">
        <v>17</v>
      </c>
      <c r="C9" s="23" t="s">
        <v>202</v>
      </c>
      <c r="D9" s="26" t="str">
        <f aca="false">IF(LOCAL_DE_EXECUCAO="","",LOCAL_DE_EXECUCAO)</f>
        <v>Procuradoria da República em Mato Grosso do Sul em Campo Grande e Procuradorias da República nos Municípios de Dourados, Três Lagoas, Corumbá e Naviraí</v>
      </c>
      <c r="E9" s="26"/>
      <c r="F9" s="26"/>
      <c r="G9" s="26"/>
      <c r="H9" s="26"/>
    </row>
    <row r="10" customFormat="false" ht="18.75" hidden="false" customHeight="true" outlineLevel="0" collapsed="false">
      <c r="A10" s="7"/>
      <c r="B10" s="48" t="s">
        <v>20</v>
      </c>
      <c r="C10" s="15" t="s">
        <v>24</v>
      </c>
      <c r="D10" s="15"/>
      <c r="E10" s="15"/>
      <c r="F10" s="125" t="str">
        <f aca="false">ACORDO_COLETIVO</f>
        <v>XX/20XX</v>
      </c>
      <c r="G10" s="125"/>
      <c r="H10" s="125"/>
    </row>
    <row r="11" customFormat="false" ht="15.95" hidden="false" customHeight="true" outlineLevel="0" collapsed="false">
      <c r="A11" s="7"/>
      <c r="B11" s="61" t="s">
        <v>23</v>
      </c>
      <c r="C11" s="108" t="s">
        <v>26</v>
      </c>
      <c r="D11" s="108"/>
      <c r="E11" s="108"/>
      <c r="F11" s="51" t="n">
        <f aca="false">NUMERO_MESES_EXEC_CONTRATUAL</f>
        <v>12</v>
      </c>
      <c r="G11" s="51"/>
      <c r="H11" s="51"/>
    </row>
    <row r="12" customFormat="false" ht="13.8" hidden="false" customHeight="false" outlineLevel="0" collapsed="false">
      <c r="A12" s="7"/>
      <c r="B12" s="61" t="s">
        <v>25</v>
      </c>
      <c r="C12" s="126" t="s">
        <v>203</v>
      </c>
      <c r="D12" s="126"/>
      <c r="E12" s="126"/>
      <c r="F12" s="49" t="n">
        <f aca="false">'INSERÇÃO-DE-DADOS'!F27+'INSERÇÃO-DE-DADOS'!F28+'INSERÇÃO-DE-DADOS'!F29</f>
        <v>3</v>
      </c>
      <c r="G12" s="49"/>
      <c r="H12" s="49"/>
    </row>
    <row r="13" s="127" customFormat="true" ht="21" hidden="false" customHeight="true" outlineLevel="0" collapsed="false">
      <c r="B13" s="128" t="s">
        <v>51</v>
      </c>
      <c r="C13" s="128"/>
      <c r="D13" s="128"/>
      <c r="E13" s="128"/>
      <c r="F13" s="128"/>
      <c r="G13" s="128"/>
      <c r="H13" s="128"/>
    </row>
    <row r="14" s="7" customFormat="true" ht="13.8" hidden="false" customHeight="false" outlineLevel="0" collapsed="false">
      <c r="B14" s="48" t="n">
        <v>1</v>
      </c>
      <c r="C14" s="15" t="s">
        <v>43</v>
      </c>
      <c r="D14" s="15"/>
      <c r="E14" s="129" t="str">
        <f aca="false">TIPO_DE_SERVICO</f>
        <v>Vigilância</v>
      </c>
      <c r="F14" s="129"/>
      <c r="G14" s="129"/>
      <c r="H14" s="129"/>
    </row>
    <row r="15" s="6" customFormat="true" ht="13.8" hidden="false" customHeight="false" outlineLevel="0" collapsed="false">
      <c r="B15" s="48" t="n">
        <v>2</v>
      </c>
      <c r="C15" s="130" t="s">
        <v>45</v>
      </c>
      <c r="D15" s="121" t="str">
        <f aca="false">CBO</f>
        <v>5173-30</v>
      </c>
      <c r="E15" s="121"/>
      <c r="F15" s="121"/>
      <c r="G15" s="121"/>
      <c r="H15" s="121"/>
    </row>
    <row r="16" s="7" customFormat="true" ht="15" hidden="false" customHeight="true" outlineLevel="0" collapsed="false">
      <c r="B16" s="48" t="n">
        <v>3</v>
      </c>
      <c r="C16" s="131" t="s">
        <v>47</v>
      </c>
      <c r="D16" s="129" t="str">
        <f aca="false">CATEGORIA_PROFISSIONAL</f>
        <v>Vigilante</v>
      </c>
      <c r="E16" s="129"/>
      <c r="F16" s="129"/>
      <c r="G16" s="129"/>
      <c r="H16" s="129"/>
    </row>
    <row r="17" customFormat="false" ht="15" hidden="false" customHeight="true" outlineLevel="0" collapsed="false">
      <c r="A17" s="7"/>
      <c r="B17" s="48" t="n">
        <v>4</v>
      </c>
      <c r="C17" s="12" t="s">
        <v>49</v>
      </c>
      <c r="D17" s="12"/>
      <c r="E17" s="12"/>
      <c r="F17" s="132" t="str">
        <f aca="false">DATA_BASE_CATEGORIA</f>
        <v>XX/XX/20XX</v>
      </c>
      <c r="G17" s="132"/>
      <c r="H17" s="132"/>
    </row>
    <row r="18" s="133" customFormat="true" ht="30" hidden="false" customHeight="true" outlineLevel="0" collapsed="false">
      <c r="B18" s="134" t="s">
        <v>238</v>
      </c>
      <c r="C18" s="134"/>
      <c r="D18" s="134"/>
      <c r="E18" s="134"/>
      <c r="F18" s="134"/>
      <c r="G18" s="134"/>
      <c r="H18" s="134"/>
    </row>
    <row r="19" customFormat="false" ht="22.35" hidden="false" customHeight="true" outlineLevel="0" collapsed="false">
      <c r="A19" s="133"/>
      <c r="B19" s="61" t="s">
        <v>205</v>
      </c>
      <c r="C19" s="61"/>
      <c r="D19" s="61"/>
      <c r="E19" s="61"/>
      <c r="F19" s="61"/>
      <c r="G19" s="61"/>
      <c r="H19" s="61"/>
    </row>
    <row r="20" customFormat="false" ht="31.3" hidden="false" customHeight="false" outlineLevel="0" collapsed="false">
      <c r="A20" s="133"/>
      <c r="B20" s="70" t="s">
        <v>206</v>
      </c>
      <c r="C20" s="70"/>
      <c r="D20" s="70"/>
      <c r="E20" s="70"/>
      <c r="F20" s="135" t="s">
        <v>207</v>
      </c>
      <c r="G20" s="136" t="s">
        <v>208</v>
      </c>
      <c r="H20" s="136" t="s">
        <v>209</v>
      </c>
    </row>
    <row r="21" customFormat="false" ht="13.8" hidden="false" customHeight="false" outlineLevel="0" collapsed="false">
      <c r="B21" s="137" t="s">
        <v>210</v>
      </c>
      <c r="C21" s="137"/>
      <c r="D21" s="137"/>
      <c r="E21" s="137"/>
      <c r="F21" s="138" t="n">
        <v>2</v>
      </c>
      <c r="G21" s="138" t="n">
        <v>2</v>
      </c>
      <c r="H21" s="138" t="n">
        <v>1</v>
      </c>
    </row>
    <row r="22" customFormat="false" ht="29.85" hidden="false" customHeight="true" outlineLevel="0" collapsed="false">
      <c r="B22" s="59" t="s">
        <v>52</v>
      </c>
      <c r="E22" s="60"/>
      <c r="F22" s="60"/>
    </row>
    <row r="23" customFormat="false" ht="29.85" hidden="false" customHeight="true" outlineLevel="0" collapsed="false">
      <c r="B23" s="61" t="n">
        <v>1</v>
      </c>
      <c r="C23" s="22" t="s">
        <v>53</v>
      </c>
      <c r="D23" s="22"/>
      <c r="E23" s="22"/>
      <c r="F23" s="135" t="s">
        <v>207</v>
      </c>
      <c r="G23" s="136" t="s">
        <v>208</v>
      </c>
      <c r="H23" s="136" t="s">
        <v>209</v>
      </c>
    </row>
    <row r="24" customFormat="false" ht="16.5" hidden="false" customHeight="true" outlineLevel="0" collapsed="false">
      <c r="B24" s="61"/>
      <c r="C24" s="22"/>
      <c r="D24" s="22"/>
      <c r="E24" s="22"/>
      <c r="F24" s="22" t="s">
        <v>111</v>
      </c>
      <c r="G24" s="22" t="s">
        <v>111</v>
      </c>
      <c r="H24" s="22" t="s">
        <v>111</v>
      </c>
    </row>
    <row r="25" customFormat="false" ht="16.5" hidden="false" customHeight="true" outlineLevel="0" collapsed="false">
      <c r="B25" s="61" t="s">
        <v>15</v>
      </c>
      <c r="C25" s="63" t="s">
        <v>211</v>
      </c>
      <c r="D25" s="63"/>
      <c r="E25" s="63"/>
      <c r="F25" s="104" t="n">
        <f aca="false">SALARIO_BASE</f>
        <v>1332.15</v>
      </c>
      <c r="G25" s="104" t="n">
        <f aca="false">'INSERÇÃO-DE-DADOS'!F44</f>
        <v>1332.15</v>
      </c>
      <c r="H25" s="104" t="n">
        <f aca="false">SALARIO_BASE</f>
        <v>1332.15</v>
      </c>
    </row>
    <row r="26" customFormat="false" ht="16.5" hidden="false" customHeight="true" outlineLevel="0" collapsed="false">
      <c r="B26" s="61" t="s">
        <v>17</v>
      </c>
      <c r="C26" s="26" t="s">
        <v>212</v>
      </c>
      <c r="D26" s="26"/>
      <c r="E26" s="26"/>
      <c r="F26" s="139" t="n">
        <f aca="false">PERC_ADIC_PERIC%*SALARIO_BASE</f>
        <v>399.645</v>
      </c>
      <c r="G26" s="139" t="n">
        <f aca="false">'INSERÇÃO-DE-DADOS'!F45%*SALARIO_BASE</f>
        <v>399.645</v>
      </c>
      <c r="H26" s="139" t="n">
        <f aca="false">PERC_ADIC_PERIC%*SALARIO_BASE</f>
        <v>399.645</v>
      </c>
    </row>
    <row r="27" customFormat="false" ht="15.75" hidden="false" customHeight="true" outlineLevel="0" collapsed="false">
      <c r="B27" s="61" t="s">
        <v>20</v>
      </c>
      <c r="C27" s="10" t="s">
        <v>213</v>
      </c>
      <c r="D27" s="10"/>
      <c r="E27" s="10"/>
      <c r="F27" s="104" t="n">
        <f aca="false">((AL_1_A_SAL_BASE_12X36_NOT+AL_1_B_ADIC_PERIC_12X36_NOT)/DIVISOR_DE_HORAS)*DIAS_NA_SEMANA*MEDIA_ANUAL_DIAS_TRABALHO_MES*PERC_ADIC_NOT%</f>
        <v>167.511807272727</v>
      </c>
      <c r="G27" s="104"/>
      <c r="H27" s="104"/>
    </row>
    <row r="28" customFormat="false" ht="15.75" hidden="false" customHeight="true" outlineLevel="0" collapsed="false">
      <c r="B28" s="61" t="s">
        <v>23</v>
      </c>
      <c r="C28" s="26" t="s">
        <v>236</v>
      </c>
      <c r="D28" s="26"/>
      <c r="E28" s="26"/>
      <c r="F28" s="139" t="n">
        <f aca="false">(F25+F26)*PERC_HORA_NOTURNA_REDUZIDA%*(1+PERC_ADIC_NOT%)</f>
        <v>173.1102282</v>
      </c>
      <c r="G28" s="139"/>
      <c r="H28" s="139"/>
    </row>
    <row r="29" customFormat="false" ht="46.4" hidden="false" customHeight="false" outlineLevel="0" collapsed="false">
      <c r="B29" s="61" t="s">
        <v>25</v>
      </c>
      <c r="C29" s="63" t="str">
        <f aca="false">OUTROS_REMUNERACAO_1_DESCRICAO</f>
        <v>Adicional Remuneração em dobro (Natal, Ano Novo e Dia do Vigilante) – Cláusula 32ª da CCT MS000170/2018 (caso o licitante use uma CCT sem o benefício, exclua-se o item ) (em % no campo de inserção)</v>
      </c>
      <c r="D29" s="63"/>
      <c r="E29" s="63"/>
      <c r="F29" s="104" t="n">
        <f aca="false">((F25+F26+F27+F28)/DIVISOR_DE_HORAS)*(HORAS_EM_DOBRO/MESES_NO_ANO)*OUTROS_REMUNERACAO_1%</f>
        <v>14.1301161509504</v>
      </c>
      <c r="G29" s="104" t="n">
        <f aca="false">((G25+G26+G27+G28)/DIVISOR_DE_HORAS)*(HORAS_EM_DOBRO/MESES_NO_ANO)*OUTROS_REMUNERACAO_1%</f>
        <v>11.8076931818182</v>
      </c>
      <c r="H29" s="104"/>
    </row>
    <row r="30" customFormat="false" ht="16.4" hidden="false" customHeight="false" outlineLevel="0" collapsed="false">
      <c r="B30" s="61" t="s">
        <v>60</v>
      </c>
      <c r="C30" s="142" t="str">
        <f aca="false">OUTROS_REMUNERACAO_2_DESCRICAO</f>
        <v>Outras Remunerações 1 (Especificar)</v>
      </c>
      <c r="D30" s="142"/>
      <c r="E30" s="142"/>
      <c r="F30" s="139" t="n">
        <f aca="false">OUTROS_REMUNERACAO_2</f>
        <v>0</v>
      </c>
      <c r="G30" s="139"/>
      <c r="H30" s="139"/>
    </row>
    <row r="31" customFormat="false" ht="16.4" hidden="false" customHeight="false" outlineLevel="0" collapsed="false">
      <c r="B31" s="61" t="s">
        <v>72</v>
      </c>
      <c r="C31" s="63" t="str">
        <f aca="false">OUTROS_REMUNERACAO_3_DESCRICAO</f>
        <v>Outras Remunerações 2 (Especificar)</v>
      </c>
      <c r="D31" s="63"/>
      <c r="E31" s="63"/>
      <c r="F31" s="104" t="n">
        <f aca="false">OUTROS_REMUNERACAO_3</f>
        <v>0</v>
      </c>
      <c r="G31" s="104"/>
      <c r="H31" s="104"/>
    </row>
    <row r="32" customFormat="false" ht="16.5" hidden="false" customHeight="true" outlineLevel="0" collapsed="false">
      <c r="B32" s="62" t="s">
        <v>76</v>
      </c>
      <c r="C32" s="62"/>
      <c r="D32" s="62"/>
      <c r="E32" s="62"/>
      <c r="F32" s="144" t="n">
        <f aca="false">SUM(F25:F31)</f>
        <v>2086.54715162368</v>
      </c>
      <c r="G32" s="144" t="n">
        <f aca="false">SUM(G25:G31)</f>
        <v>1743.60269318182</v>
      </c>
      <c r="H32" s="144" t="n">
        <f aca="false">SUM(H25:H31)</f>
        <v>1731.795</v>
      </c>
    </row>
    <row r="33" customFormat="false" ht="16.5" hidden="false" customHeight="false" outlineLevel="0" collapsed="false">
      <c r="B33" s="59" t="s">
        <v>166</v>
      </c>
      <c r="E33" s="110"/>
      <c r="F33" s="110"/>
    </row>
    <row r="34" customFormat="false" ht="16.5" hidden="false" customHeight="false" outlineLevel="0" collapsed="false">
      <c r="B34" s="59" t="s">
        <v>167</v>
      </c>
      <c r="C34" s="76"/>
      <c r="D34" s="77"/>
      <c r="E34" s="78"/>
      <c r="F34" s="78"/>
    </row>
    <row r="35" customFormat="false" ht="31.3" hidden="false" customHeight="true" outlineLevel="0" collapsed="false">
      <c r="B35" s="61" t="s">
        <v>168</v>
      </c>
      <c r="C35" s="70" t="s">
        <v>169</v>
      </c>
      <c r="D35" s="70"/>
      <c r="E35" s="22" t="s">
        <v>65</v>
      </c>
      <c r="F35" s="135" t="s">
        <v>207</v>
      </c>
      <c r="G35" s="136" t="s">
        <v>208</v>
      </c>
      <c r="H35" s="136" t="s">
        <v>209</v>
      </c>
    </row>
    <row r="36" customFormat="false" ht="16.4" hidden="false" customHeight="false" outlineLevel="0" collapsed="false">
      <c r="B36" s="61"/>
      <c r="C36" s="70"/>
      <c r="D36" s="70"/>
      <c r="E36" s="22"/>
      <c r="F36" s="22" t="s">
        <v>111</v>
      </c>
      <c r="G36" s="22" t="s">
        <v>111</v>
      </c>
      <c r="H36" s="22" t="s">
        <v>111</v>
      </c>
    </row>
    <row r="37" customFormat="false" ht="16.5" hidden="false" customHeight="true" outlineLevel="0" collapsed="false">
      <c r="B37" s="61" t="s">
        <v>15</v>
      </c>
      <c r="C37" s="69" t="s">
        <v>171</v>
      </c>
      <c r="D37" s="69"/>
      <c r="E37" s="111" t="n">
        <f aca="false">PERC_DEC_TERC</f>
        <v>8.33333333333333</v>
      </c>
      <c r="F37" s="107" t="n">
        <f aca="false">PERC_DEC_TERC%*MOD_1_REMUNERACAO_12X36_NOT</f>
        <v>173.878929301973</v>
      </c>
      <c r="G37" s="107" t="n">
        <f aca="false">PERC_DEC_TERC%*G32</f>
        <v>145.300224431818</v>
      </c>
      <c r="H37" s="107" t="n">
        <f aca="false">PERC_DEC_TERC%*H32</f>
        <v>144.31625</v>
      </c>
    </row>
    <row r="38" s="103" customFormat="true" ht="16.5" hidden="false" customHeight="true" outlineLevel="0" collapsed="false">
      <c r="B38" s="22" t="s">
        <v>17</v>
      </c>
      <c r="C38" s="26" t="s">
        <v>173</v>
      </c>
      <c r="D38" s="26"/>
      <c r="E38" s="112" t="n">
        <f aca="false">PERC_ADIC_FERIAS</f>
        <v>2.77777777777778</v>
      </c>
      <c r="F38" s="109" t="n">
        <f aca="false">PERC_ADIC_FERIAS%*MOD_1_REMUNERACAO_12X36_NOT</f>
        <v>57.9596431006577</v>
      </c>
      <c r="G38" s="109" t="n">
        <f aca="false">PERC_ADIC_FERIAS%*G32</f>
        <v>48.4334081439394</v>
      </c>
      <c r="H38" s="109" t="n">
        <f aca="false">PERC_ADIC_FERIAS%*H32</f>
        <v>48.1054166666667</v>
      </c>
    </row>
    <row r="39" s="66" customFormat="true" ht="13.8" hidden="false" customHeight="false" outlineLevel="0" collapsed="false">
      <c r="B39" s="70" t="s">
        <v>76</v>
      </c>
      <c r="C39" s="70"/>
      <c r="D39" s="70"/>
      <c r="E39" s="70"/>
      <c r="F39" s="145" t="n">
        <f aca="false">SUM(F37:F38)</f>
        <v>231.838572402631</v>
      </c>
      <c r="G39" s="145" t="n">
        <f aca="false">SUM(G37:G38)</f>
        <v>193.733632575758</v>
      </c>
      <c r="H39" s="145" t="n">
        <f aca="false">SUM(H37:H38)</f>
        <v>192.421666666667</v>
      </c>
    </row>
    <row r="40" customFormat="false" ht="31.5" hidden="false" customHeight="true" outlineLevel="0" collapsed="false">
      <c r="A40" s="66"/>
      <c r="B40" s="146" t="s">
        <v>62</v>
      </c>
      <c r="C40" s="146"/>
      <c r="D40" s="146"/>
      <c r="E40" s="146"/>
      <c r="F40" s="146"/>
    </row>
    <row r="41" customFormat="false" ht="31.5" hidden="false" customHeight="true" outlineLevel="0" collapsed="false">
      <c r="A41" s="66"/>
      <c r="B41" s="61" t="s">
        <v>63</v>
      </c>
      <c r="C41" s="68" t="s">
        <v>64</v>
      </c>
      <c r="D41" s="68"/>
      <c r="E41" s="22" t="s">
        <v>65</v>
      </c>
      <c r="F41" s="135" t="s">
        <v>207</v>
      </c>
      <c r="G41" s="136" t="s">
        <v>208</v>
      </c>
      <c r="H41" s="136" t="s">
        <v>209</v>
      </c>
    </row>
    <row r="42" customFormat="false" ht="34.5" hidden="false" customHeight="true" outlineLevel="0" collapsed="false">
      <c r="A42" s="66"/>
      <c r="B42" s="61"/>
      <c r="C42" s="68"/>
      <c r="D42" s="68"/>
      <c r="E42" s="22"/>
      <c r="F42" s="22" t="s">
        <v>111</v>
      </c>
      <c r="G42" s="22" t="s">
        <v>111</v>
      </c>
      <c r="H42" s="22" t="s">
        <v>111</v>
      </c>
    </row>
    <row r="43" customFormat="false" ht="16.5" hidden="false" customHeight="true" outlineLevel="0" collapsed="false">
      <c r="B43" s="61" t="s">
        <v>15</v>
      </c>
      <c r="C43" s="69" t="s">
        <v>66</v>
      </c>
      <c r="D43" s="69"/>
      <c r="E43" s="111" t="n">
        <f aca="false">PERC_INSS</f>
        <v>20</v>
      </c>
      <c r="F43" s="107" t="n">
        <f aca="false">PERC_INSS%*(MOD_1_REMUNERACAO_12X36_NOT+SUBMOD_2_1_DEC_TERC_ADIC_FERIAS_12X36_NOT)</f>
        <v>463.677144805262</v>
      </c>
      <c r="G43" s="107" t="n">
        <f aca="false">PERC_INSS%*(G32+G39)</f>
        <v>387.467265151515</v>
      </c>
      <c r="H43" s="107" t="n">
        <f aca="false">PERC_INSS%*(H32+H39)</f>
        <v>384.843333333333</v>
      </c>
    </row>
    <row r="44" s="7" customFormat="true" ht="16.5" hidden="false" customHeight="true" outlineLevel="0" collapsed="false">
      <c r="B44" s="22" t="s">
        <v>17</v>
      </c>
      <c r="C44" s="26" t="s">
        <v>67</v>
      </c>
      <c r="D44" s="26"/>
      <c r="E44" s="113" t="n">
        <f aca="false">PERC_SAL_EDUCACAO</f>
        <v>2.5</v>
      </c>
      <c r="F44" s="109" t="n">
        <f aca="false">PERC_SAL_EDUCACAO%*(MOD_1_REMUNERACAO_12X36_NOT+SUBMOD_2_1_DEC_TERC_ADIC_FERIAS_12X36_NOT)</f>
        <v>57.9596431006577</v>
      </c>
      <c r="G44" s="109" t="n">
        <f aca="false">PERC_SAL_EDUCACAO%*(G32+G39)</f>
        <v>48.4334081439394</v>
      </c>
      <c r="H44" s="109" t="n">
        <f aca="false">PERC_SAL_EDUCACAO%*(H32+H39)</f>
        <v>48.1054166666667</v>
      </c>
    </row>
    <row r="45" customFormat="false" ht="16.5" hidden="false" customHeight="true" outlineLevel="0" collapsed="false">
      <c r="A45" s="7"/>
      <c r="B45" s="22" t="s">
        <v>20</v>
      </c>
      <c r="C45" s="69" t="s">
        <v>175</v>
      </c>
      <c r="D45" s="69"/>
      <c r="E45" s="111" t="n">
        <f aca="false">PERC_RAT</f>
        <v>3</v>
      </c>
      <c r="F45" s="107" t="n">
        <f aca="false">PERC_RAT%*(MOD_1_REMUNERACAO_12X36_NOT+SUBMOD_2_1_DEC_TERC_ADIC_FERIAS_12X36_NOT)</f>
        <v>69.5515717207892</v>
      </c>
      <c r="G45" s="107" t="n">
        <f aca="false">PERC_RAT%*(G32+G39)</f>
        <v>58.1200897727273</v>
      </c>
      <c r="H45" s="107" t="n">
        <f aca="false">PERC_RAT%*(H32+H39)</f>
        <v>57.7265</v>
      </c>
    </row>
    <row r="46" customFormat="false" ht="16.5" hidden="false" customHeight="true" outlineLevel="0" collapsed="false">
      <c r="A46" s="7"/>
      <c r="B46" s="22" t="s">
        <v>23</v>
      </c>
      <c r="C46" s="26" t="s">
        <v>69</v>
      </c>
      <c r="D46" s="26"/>
      <c r="E46" s="112" t="n">
        <f aca="false">PERC_SESC</f>
        <v>1.5</v>
      </c>
      <c r="F46" s="109" t="n">
        <f aca="false">PERC_SESC%*(MOD_1_REMUNERACAO_12X36_NOT+SUBMOD_2_1_DEC_TERC_ADIC_FERIAS_12X36_NOT)</f>
        <v>34.7757858603946</v>
      </c>
      <c r="G46" s="109" t="n">
        <f aca="false">PERC_SESC%*(G32+G39)</f>
        <v>29.0600448863636</v>
      </c>
      <c r="H46" s="109" t="n">
        <f aca="false">PERC_SESC%*(H32+H39)</f>
        <v>28.86325</v>
      </c>
    </row>
    <row r="47" customFormat="false" ht="16.5" hidden="false" customHeight="true" outlineLevel="0" collapsed="false">
      <c r="A47" s="7"/>
      <c r="B47" s="22" t="s">
        <v>25</v>
      </c>
      <c r="C47" s="69" t="s">
        <v>70</v>
      </c>
      <c r="D47" s="69"/>
      <c r="E47" s="111" t="n">
        <f aca="false">PERC_SENAC</f>
        <v>1</v>
      </c>
      <c r="F47" s="107" t="n">
        <f aca="false">PERC_SENAC%*(MOD_1_REMUNERACAO_12X36_NOT+SUBMOD_2_1_DEC_TERC_ADIC_FERIAS_12X36_NOT)</f>
        <v>23.1838572402631</v>
      </c>
      <c r="G47" s="107" t="n">
        <f aca="false">PERC_SENAC%*(G32+G39)</f>
        <v>19.3733632575758</v>
      </c>
      <c r="H47" s="107" t="n">
        <f aca="false">PERC_SENAC%*(H32+H39)</f>
        <v>19.2421666666667</v>
      </c>
    </row>
    <row r="48" s="6" customFormat="true" ht="16.5" hidden="false" customHeight="true" outlineLevel="0" collapsed="false">
      <c r="B48" s="22" t="s">
        <v>60</v>
      </c>
      <c r="C48" s="26" t="s">
        <v>71</v>
      </c>
      <c r="D48" s="26"/>
      <c r="E48" s="113" t="n">
        <f aca="false">PERC_SEBRAE</f>
        <v>0.6</v>
      </c>
      <c r="F48" s="109" t="n">
        <f aca="false">PERC_SEBRAE%*(MOD_1_REMUNERACAO_12X36_NOT+SUBMOD_2_1_DEC_TERC_ADIC_FERIAS_12X36_NOT)</f>
        <v>13.9103143441579</v>
      </c>
      <c r="G48" s="109" t="n">
        <f aca="false">PERC_SEBRAE%*(G32+G39)</f>
        <v>11.6240179545455</v>
      </c>
      <c r="H48" s="109" t="n">
        <f aca="false">PERC_SEBRAE%*(H32+H39)</f>
        <v>11.5453</v>
      </c>
    </row>
    <row r="49" customFormat="false" ht="16.5" hidden="false" customHeight="true" outlineLevel="0" collapsed="false">
      <c r="A49" s="6"/>
      <c r="B49" s="22" t="s">
        <v>72</v>
      </c>
      <c r="C49" s="69" t="s">
        <v>73</v>
      </c>
      <c r="D49" s="69"/>
      <c r="E49" s="111" t="n">
        <f aca="false">PERC_INCRA</f>
        <v>0.2</v>
      </c>
      <c r="F49" s="107" t="n">
        <f aca="false">PERC_INCRA%*(MOD_1_REMUNERACAO_12X36_NOT+SUBMOD_2_1_DEC_TERC_ADIC_FERIAS_12X36_NOT)</f>
        <v>4.63677144805262</v>
      </c>
      <c r="G49" s="107" t="n">
        <f aca="false">PERC_INCRA%*(G32+G39)</f>
        <v>3.87467265151515</v>
      </c>
      <c r="H49" s="107" t="n">
        <f aca="false">PERC_INCRA%*(H32+H39)</f>
        <v>3.84843333333333</v>
      </c>
    </row>
    <row r="50" customFormat="false" ht="16.5" hidden="false" customHeight="true" outlineLevel="0" collapsed="false">
      <c r="B50" s="22" t="s">
        <v>74</v>
      </c>
      <c r="C50" s="26" t="s">
        <v>75</v>
      </c>
      <c r="D50" s="26"/>
      <c r="E50" s="113" t="n">
        <f aca="false">PERC_FGTS</f>
        <v>8</v>
      </c>
      <c r="F50" s="109" t="n">
        <f aca="false">PERC_FGTS%*(MOD_1_REMUNERACAO_12X36_NOT+SUBMOD_2_1_DEC_TERC_ADIC_FERIAS_12X36_NOT)</f>
        <v>185.470857922105</v>
      </c>
      <c r="G50" s="109" t="n">
        <f aca="false">PERC_FGTS%*(G32+G39)</f>
        <v>154.986906060606</v>
      </c>
      <c r="H50" s="109" t="n">
        <f aca="false">PERC_FGTS%*(H32+H39)</f>
        <v>153.937333333333</v>
      </c>
    </row>
    <row r="51" customFormat="false" ht="13.8" hidden="false" customHeight="false" outlineLevel="0" collapsed="false">
      <c r="B51" s="70" t="s">
        <v>76</v>
      </c>
      <c r="C51" s="70"/>
      <c r="D51" s="70"/>
      <c r="E51" s="70"/>
      <c r="F51" s="147" t="n">
        <f aca="false">SUM(F43:F50)</f>
        <v>853.165946441681</v>
      </c>
      <c r="G51" s="147" t="n">
        <f aca="false">SUM(G43:G50)</f>
        <v>712.939767878788</v>
      </c>
      <c r="H51" s="147" t="n">
        <f aca="false">SUM(H43:H50)</f>
        <v>708.111733333333</v>
      </c>
    </row>
    <row r="52" customFormat="false" ht="15.75" hidden="false" customHeight="true" outlineLevel="0" collapsed="false">
      <c r="B52" s="59" t="s">
        <v>77</v>
      </c>
      <c r="C52" s="6"/>
      <c r="D52" s="6"/>
      <c r="E52" s="6"/>
      <c r="F52" s="6"/>
    </row>
    <row r="53" customFormat="false" ht="31.3" hidden="false" customHeight="true" outlineLevel="0" collapsed="false">
      <c r="B53" s="61" t="s">
        <v>78</v>
      </c>
      <c r="C53" s="62" t="s">
        <v>79</v>
      </c>
      <c r="D53" s="62"/>
      <c r="E53" s="62"/>
      <c r="F53" s="135" t="s">
        <v>207</v>
      </c>
      <c r="G53" s="136" t="s">
        <v>208</v>
      </c>
      <c r="H53" s="136" t="s">
        <v>209</v>
      </c>
    </row>
    <row r="54" customFormat="false" ht="15.75" hidden="false" customHeight="true" outlineLevel="0" collapsed="false">
      <c r="B54" s="61"/>
      <c r="C54" s="62"/>
      <c r="D54" s="62"/>
      <c r="E54" s="62"/>
      <c r="F54" s="22" t="s">
        <v>111</v>
      </c>
      <c r="G54" s="22" t="s">
        <v>111</v>
      </c>
      <c r="H54" s="22" t="s">
        <v>111</v>
      </c>
    </row>
    <row r="55" customFormat="false" ht="16.5" hidden="false" customHeight="true" outlineLevel="0" collapsed="false">
      <c r="B55" s="48" t="s">
        <v>15</v>
      </c>
      <c r="C55" s="69" t="s">
        <v>82</v>
      </c>
      <c r="D55" s="69"/>
      <c r="E55" s="69"/>
      <c r="F55" s="107" t="n">
        <f aca="false">IF(((TARIFA_CORUMBA*DIAS_TRABALHADOS_NO_MES_12X36)-(PERC_DESC_TRANSP_REMUNERACAO%*(AL_1_A_SAL_BASE_12X36_NOT/2)))&gt;0,((TARIFA_CORUMBA*DIAS_TRABALHADOS_NO_MES_12X36)-(PERC_DESC_TRANSP_REMUNERACAO%*(AL_1_A_SAL_BASE_12X36_NOT/2))),0)</f>
        <v>71.0355</v>
      </c>
      <c r="G55" s="107" t="n">
        <f aca="false">IF(((TARIFA_CORUMBA*DIAS_TRABALHADOS_NO_MES_12X36)-(PERC_DESC_TRANSP_REMUNERACAO%*(G25/2)))&gt;0,((TARIFA_CORUMBA*DIAS_TRABALHADOS_NO_MES_12X36)-(PERC_DESC_TRANSP_REMUNERACAO%*(G25/2))),0)</f>
        <v>71.0355</v>
      </c>
      <c r="H55" s="107" t="n">
        <f aca="false">IF(((TARIFA_CORUMBA*DIAS_UTEIS_TRABALHADOS_NO_MES_44HORAS)-(PERC_DESC_TRANSP_REMUNERACAO%*(SALARIO_BASE)))&gt;0,((TARIFA_CORUMBA*DIAS_UTEIS_TRABALHADOS_NO_MES_44HORAS)-(PERC_DESC_TRANSP_REMUNERACAO%*(SALARIO_BASE))),0)</f>
        <v>82.871</v>
      </c>
    </row>
    <row r="56" s="66" customFormat="true" ht="16.5" hidden="false" customHeight="true" outlineLevel="0" collapsed="false">
      <c r="B56" s="48" t="s">
        <v>17</v>
      </c>
      <c r="C56" s="26" t="s">
        <v>93</v>
      </c>
      <c r="D56" s="26"/>
      <c r="E56" s="26"/>
      <c r="F56" s="109" t="n">
        <f aca="false">(ALIMENTACAO_POR_DIA*DIAS_TRABALHADOS_NO_MES_12X36)-(SALARIO_BASE*PERC_DESC_ALIMENTACAO%)</f>
        <v>348.9285</v>
      </c>
      <c r="G56" s="109" t="n">
        <f aca="false">(ALIMENTACAO_POR_DIA*DIAS_TRABALHADOS_NO_MES_12X36)-(SALARIO_BASE*PERC_DESC_ALIMENTACAO%)</f>
        <v>348.9285</v>
      </c>
      <c r="H56" s="109" t="n">
        <f aca="false">(ALIMENTACAO_POR_DIA*DIAS_UTEIS_TRABALHADOS_NO_MES_44HORAS)-(SALARIO_BASE*PERC_DESC_ALIMENTACAO%)</f>
        <v>517.9785</v>
      </c>
    </row>
    <row r="57" s="66" customFormat="true" ht="16.4" hidden="false" customHeight="false" outlineLevel="0" collapsed="false">
      <c r="B57" s="48" t="s">
        <v>20</v>
      </c>
      <c r="C57" s="63" t="str">
        <f aca="false">OUTROS_BENEFICIOS_1_DESCRICAO</f>
        <v>Seguro de vida em grupo</v>
      </c>
      <c r="D57" s="63"/>
      <c r="E57" s="63"/>
      <c r="F57" s="107" t="n">
        <f aca="false">OUTROS_BENEFICIOS_1</f>
        <v>11.83</v>
      </c>
      <c r="G57" s="107" t="n">
        <f aca="false">OUTROS_BENEFICIOS_1</f>
        <v>11.83</v>
      </c>
      <c r="H57" s="107" t="n">
        <f aca="false">OUTROS_BENEFICIOS_1</f>
        <v>11.83</v>
      </c>
    </row>
    <row r="58" customFormat="false" ht="16.4" hidden="false" customHeight="false" outlineLevel="0" collapsed="false">
      <c r="A58" s="66"/>
      <c r="B58" s="48" t="s">
        <v>23</v>
      </c>
      <c r="C58" s="142" t="str">
        <f aca="false">OUTROS_BENEFICIOS_2_DESCRICAO</f>
        <v>Programa Familiar Assistencial e de Saúde</v>
      </c>
      <c r="D58" s="142"/>
      <c r="E58" s="142"/>
      <c r="F58" s="109" t="n">
        <f aca="false">OUTROS_BENEFICIOS_2</f>
        <v>49.79</v>
      </c>
      <c r="G58" s="109" t="n">
        <f aca="false">OUTROS_BENEFICIOS_2</f>
        <v>49.79</v>
      </c>
      <c r="H58" s="109" t="n">
        <f aca="false">OUTROS_BENEFICIOS_2</f>
        <v>49.79</v>
      </c>
    </row>
    <row r="59" customFormat="false" ht="16.4" hidden="false" customHeight="false" outlineLevel="0" collapsed="false">
      <c r="A59" s="66"/>
      <c r="B59" s="48" t="s">
        <v>25</v>
      </c>
      <c r="C59" s="63" t="str">
        <f aca="false">OUTROS_BENEFICIOS_3_DESCRICAO</f>
        <v>Outros Benefícios 1 (Especificar)</v>
      </c>
      <c r="D59" s="63"/>
      <c r="E59" s="63"/>
      <c r="F59" s="107" t="n">
        <f aca="false">OUTROS_BENEFICIOS_3</f>
        <v>0</v>
      </c>
      <c r="G59" s="107" t="n">
        <f aca="false">OUTROS_BENEFICIOS_3</f>
        <v>0</v>
      </c>
      <c r="H59" s="107" t="n">
        <f aca="false">OUTROS_BENEFICIOS_3</f>
        <v>0</v>
      </c>
    </row>
    <row r="60" customFormat="false" ht="15" hidden="false" customHeight="true" outlineLevel="0" collapsed="false">
      <c r="A60" s="66"/>
      <c r="B60" s="62" t="s">
        <v>76</v>
      </c>
      <c r="C60" s="62"/>
      <c r="D60" s="62"/>
      <c r="E60" s="62"/>
      <c r="F60" s="144" t="n">
        <f aca="false">SUM(F55:F59)</f>
        <v>481.584</v>
      </c>
      <c r="G60" s="144" t="n">
        <f aca="false">SUM(G55:G59)</f>
        <v>481.584</v>
      </c>
      <c r="H60" s="144" t="n">
        <f aca="false">SUM(H55:H59)</f>
        <v>662.4695</v>
      </c>
    </row>
    <row r="61" customFormat="false" ht="16.5" hidden="false" customHeight="false" outlineLevel="0" collapsed="false">
      <c r="A61" s="66"/>
      <c r="B61" s="59" t="s">
        <v>146</v>
      </c>
      <c r="C61" s="76"/>
      <c r="D61" s="77"/>
      <c r="E61" s="78"/>
      <c r="F61" s="78"/>
    </row>
    <row r="62" customFormat="false" ht="31.3" hidden="false" customHeight="true" outlineLevel="0" collapsed="false">
      <c r="A62" s="66"/>
      <c r="B62" s="61" t="n">
        <v>3</v>
      </c>
      <c r="C62" s="70" t="s">
        <v>147</v>
      </c>
      <c r="D62" s="70"/>
      <c r="E62" s="22" t="s">
        <v>65</v>
      </c>
      <c r="F62" s="135" t="s">
        <v>207</v>
      </c>
      <c r="G62" s="136" t="s">
        <v>208</v>
      </c>
      <c r="H62" s="136" t="s">
        <v>209</v>
      </c>
    </row>
    <row r="63" customFormat="false" ht="15" hidden="false" customHeight="true" outlineLevel="0" collapsed="false">
      <c r="A63" s="66"/>
      <c r="B63" s="61"/>
      <c r="C63" s="70"/>
      <c r="D63" s="70"/>
      <c r="E63" s="22"/>
      <c r="F63" s="22" t="s">
        <v>111</v>
      </c>
      <c r="G63" s="22" t="s">
        <v>111</v>
      </c>
      <c r="H63" s="22" t="s">
        <v>111</v>
      </c>
    </row>
    <row r="64" customFormat="false" ht="16.4" hidden="false" customHeight="false" outlineLevel="0" collapsed="false">
      <c r="A64" s="66"/>
      <c r="B64" s="61" t="s">
        <v>15</v>
      </c>
      <c r="C64" s="114" t="s">
        <v>176</v>
      </c>
      <c r="D64" s="114"/>
      <c r="E64" s="111" t="n">
        <f aca="false">PERC_AVISO_PREVIO_IND</f>
        <v>0.29105125</v>
      </c>
      <c r="F64" s="107" t="n">
        <f aca="false">PERC_AVISO_PREVIO_IND%*(MOD_1_REMUNERACAO_12X36_NOT+SUBMOD_2_1_DEC_TERC_ADIC_FERIAS_12X36_NOT+AL_2_2_FGTS_12X36_NOT+SUBMOD_2_3_BENEFICIOS_12X36_NOT)</f>
        <v>8.68916213176814</v>
      </c>
      <c r="G64" s="107" t="n">
        <f aca="false">PERC_AVISO_PREVIO_IND%*(G32+G39+G50+G60)</f>
        <v>7.49138917204722</v>
      </c>
      <c r="H64" s="107" t="n">
        <f aca="false">PERC_AVISO_PREVIO_IND%*(H32+H39+H50+H60)</f>
        <v>7.97661895454375</v>
      </c>
    </row>
    <row r="65" customFormat="false" ht="16.4" hidden="false" customHeight="false" outlineLevel="0" collapsed="false">
      <c r="A65" s="66"/>
      <c r="B65" s="22" t="s">
        <v>17</v>
      </c>
      <c r="C65" s="115" t="s">
        <v>178</v>
      </c>
      <c r="D65" s="115"/>
      <c r="E65" s="113" t="n">
        <f aca="false">PERC_FGTS_AVISO_PREV_IND</f>
        <v>0.0232841</v>
      </c>
      <c r="F65" s="109" t="n">
        <f aca="false">PERC_FGTS_AVISO_PREV_IND%*(MOD_1_REMUNERACAO_12X36_NOT+SUBMOD_2_1_DEC_TERC_ADIC_FERIAS_12X36_NOT)</f>
        <v>0.53981525036801</v>
      </c>
      <c r="G65" s="109" t="n">
        <f aca="false">PERC_FGTS_AVISO_PREV_IND%*(G32+G39)</f>
        <v>0.45109132742572</v>
      </c>
      <c r="H65" s="109" t="n">
        <f aca="false">PERC_FGTS_AVISO_PREV_IND%*(H32+H39)</f>
        <v>0.448036532883333</v>
      </c>
    </row>
    <row r="66" s="7" customFormat="true" ht="34.5" hidden="false" customHeight="true" outlineLevel="0" collapsed="false">
      <c r="B66" s="22" t="s">
        <v>20</v>
      </c>
      <c r="C66" s="114" t="s">
        <v>215</v>
      </c>
      <c r="D66" s="114"/>
      <c r="E66" s="111" t="n">
        <f aca="false">PERC_MULTA_FGTS_AV_PREV_IND</f>
        <v>0.00931364</v>
      </c>
      <c r="F66" s="107" t="n">
        <f aca="false">PERC_MULTA_FGTS_AV_PREV_IND%*(MOD_1_REMUNERACAO_12X36_NOT+SUBMOD_2_1_DEC_TERC_ADIC_FERIAS_12X36_NOT)</f>
        <v>0.215926100147204</v>
      </c>
      <c r="G66" s="107" t="n">
        <f aca="false">PERC_MULTA_FGTS_AV_PREV_IND%*(G32+G39)</f>
        <v>0.180436530970288</v>
      </c>
      <c r="H66" s="107" t="n">
        <f aca="false">PERC_MULTA_FGTS_AV_PREV_IND%*(H32+H39)</f>
        <v>0.179214613153333</v>
      </c>
    </row>
    <row r="67" s="66" customFormat="true" ht="16.4" hidden="false" customHeight="false" outlineLevel="0" collapsed="false">
      <c r="B67" s="22" t="s">
        <v>23</v>
      </c>
      <c r="C67" s="115" t="s">
        <v>182</v>
      </c>
      <c r="D67" s="115"/>
      <c r="E67" s="113" t="n">
        <f aca="false">PERC_AVISO_PREVIO_TRAB</f>
        <v>1.15572693055556</v>
      </c>
      <c r="F67" s="109" t="n">
        <f aca="false">PERC_AVISO_PREVIO_TRAB%*(MOD_1_REMUNERACAO_12X36_NOT+SUBMOD_2_1_DEC_TERC_ADIC_FERIAS_12X36_NOT+SUBMOD_2_2_GPS_FGTS_12X36_NOT+SUBMOD_2_3_BENEFICIOS_12X36_NOT)</f>
        <v>42.22027275333</v>
      </c>
      <c r="G67" s="109" t="n">
        <f aca="false">PERC_AVISO_PREVIO_TRAB%*(G32+G39+G51+G60)</f>
        <v>36.1957505294781</v>
      </c>
      <c r="H67" s="109" t="n">
        <f aca="false">PERC_AVISO_PREVIO_TRAB%*(H32+H39+H51+H60)</f>
        <v>38.0788666376791</v>
      </c>
    </row>
    <row r="68" s="7" customFormat="true" ht="35.25" hidden="false" customHeight="true" outlineLevel="0" collapsed="false">
      <c r="B68" s="22" t="s">
        <v>25</v>
      </c>
      <c r="C68" s="114" t="s">
        <v>184</v>
      </c>
      <c r="D68" s="114"/>
      <c r="E68" s="111" t="n">
        <f aca="false">PERC_GPS_FGTS_AVISO_PREVIO_TRAB</f>
        <v>0.425307510444444</v>
      </c>
      <c r="F68" s="107" t="n">
        <f aca="false">PERC_GPS_FGTS_AVISO_PREVIO_TRAB%*(MOD_1_REMUNERACAO_12X36_NOT+SUBMOD_2_1_DEC_TERC_ADIC_FERIAS_12X36_NOT)</f>
        <v>9.8602686053557</v>
      </c>
      <c r="G68" s="107" t="n">
        <f aca="false">PERC_GPS_FGTS_AVISO_PREVIO_TRAB%*(G32+G39)</f>
        <v>8.23963689601542</v>
      </c>
      <c r="H68" s="107" t="n">
        <f aca="false">PERC_GPS_FGTS_AVISO_PREVIO_TRAB%*(H32+H39)</f>
        <v>8.18383800055707</v>
      </c>
    </row>
    <row r="69" customFormat="false" ht="32.25" hidden="false" customHeight="true" outlineLevel="0" collapsed="false">
      <c r="A69" s="7"/>
      <c r="B69" s="22" t="s">
        <v>60</v>
      </c>
      <c r="C69" s="115" t="s">
        <v>216</v>
      </c>
      <c r="D69" s="115"/>
      <c r="E69" s="113" t="n">
        <f aca="false">PERC_MULTA_FGTS_AV_PREV_TRAB</f>
        <v>0.04</v>
      </c>
      <c r="F69" s="109" t="n">
        <f aca="false">PERC_MULTA_FGTS_AV_PREV_TRAB%*(MOD_1_REMUNERACAO_12X36_NOT+SUBMOD_2_1_DEC_TERC_ADIC_FERIAS_12X36_NOT)</f>
        <v>0.927354289610523</v>
      </c>
      <c r="G69" s="109" t="n">
        <f aca="false">PERC_MULTA_FGTS_AV_PREV_TRAB%*(G32+G39)</f>
        <v>0.77493453030303</v>
      </c>
      <c r="H69" s="109" t="n">
        <f aca="false">PERC_MULTA_FGTS_AV_PREV_TRAB%*(H32+H39)</f>
        <v>0.769686666666667</v>
      </c>
    </row>
    <row r="70" customFormat="false" ht="13.8" hidden="false" customHeight="false" outlineLevel="0" collapsed="false">
      <c r="A70" s="7"/>
      <c r="B70" s="70" t="s">
        <v>76</v>
      </c>
      <c r="C70" s="70"/>
      <c r="D70" s="70"/>
      <c r="E70" s="70"/>
      <c r="F70" s="145" t="n">
        <f aca="false">SUM(F64:F69)</f>
        <v>62.4527991305796</v>
      </c>
      <c r="G70" s="145" t="n">
        <f aca="false">SUM(G64:G69)</f>
        <v>53.3332389862397</v>
      </c>
      <c r="H70" s="145" t="n">
        <f aca="false">SUM(H64:H69)</f>
        <v>55.6362614054832</v>
      </c>
    </row>
    <row r="71" customFormat="false" ht="7.5" hidden="false" customHeight="true" outlineLevel="0" collapsed="false">
      <c r="B71" s="148"/>
      <c r="C71" s="103"/>
      <c r="D71" s="47"/>
      <c r="E71" s="60"/>
      <c r="F71" s="60"/>
    </row>
    <row r="72" s="7" customFormat="true" ht="15.95" hidden="false" customHeight="true" outlineLevel="0" collapsed="false">
      <c r="B72" s="59" t="str">
        <f aca="false">'INSERÇÃO-DE-DADOS'!B75</f>
        <v>MÓDULO 4: CUSTO DE REPOSIÇÃO DO PROFISSIONAL AUSENTE/INTRAJORNADA</v>
      </c>
      <c r="C72" s="76"/>
      <c r="D72" s="77"/>
      <c r="E72" s="1"/>
      <c r="F72" s="1"/>
    </row>
    <row r="73" s="7" customFormat="true" ht="15.95" hidden="false" customHeight="true" outlineLevel="0" collapsed="false">
      <c r="B73" s="59" t="s">
        <v>99</v>
      </c>
      <c r="C73" s="76"/>
      <c r="D73" s="77"/>
      <c r="E73" s="78"/>
      <c r="F73" s="78"/>
    </row>
    <row r="74" s="7" customFormat="true" ht="31.3" hidden="false" customHeight="true" outlineLevel="0" collapsed="false">
      <c r="B74" s="61" t="s">
        <v>100</v>
      </c>
      <c r="C74" s="62" t="s">
        <v>101</v>
      </c>
      <c r="D74" s="62"/>
      <c r="E74" s="22" t="s">
        <v>65</v>
      </c>
      <c r="F74" s="135" t="s">
        <v>207</v>
      </c>
      <c r="G74" s="136" t="s">
        <v>208</v>
      </c>
      <c r="H74" s="136" t="s">
        <v>209</v>
      </c>
    </row>
    <row r="75" s="7" customFormat="true" ht="16.5" hidden="false" customHeight="true" outlineLevel="0" collapsed="false">
      <c r="B75" s="61"/>
      <c r="C75" s="62"/>
      <c r="D75" s="62"/>
      <c r="E75" s="22"/>
      <c r="F75" s="22" t="s">
        <v>111</v>
      </c>
      <c r="G75" s="22" t="s">
        <v>111</v>
      </c>
      <c r="H75" s="22" t="s">
        <v>111</v>
      </c>
    </row>
    <row r="76" s="7" customFormat="true" ht="15.95" hidden="false" customHeight="true" outlineLevel="0" collapsed="false">
      <c r="B76" s="22" t="s">
        <v>15</v>
      </c>
      <c r="C76" s="69" t="s">
        <v>188</v>
      </c>
      <c r="D76" s="69"/>
      <c r="E76" s="111" t="n">
        <f aca="false">PERC_SUBSTITUTO_FERIAS</f>
        <v>8.33333333333333</v>
      </c>
      <c r="F76" s="107" t="n">
        <f aca="false">PERC_SUBSTITUTO_FERIAS%*(MOD_1_REMUNERACAO_12X36_NOT+MOD_2_ENCARGOS_BENEFICIOS_12X36_NOT+MOD_3_PROVISAO_RESCISAO_12X36_NOT)</f>
        <v>309.632372466548</v>
      </c>
      <c r="G76" s="107" t="n">
        <f aca="false">PERC_SUBSTITUTO_FERIAS%*(G32+G112+G70)</f>
        <v>265.43277771855</v>
      </c>
      <c r="H76" s="107" t="n">
        <f aca="false">PERC_SUBSTITUTO_FERIAS%*(H32+H112+H70)</f>
        <v>279.20284678379</v>
      </c>
    </row>
    <row r="77" s="7" customFormat="true" ht="15.95" hidden="false" customHeight="true" outlineLevel="0" collapsed="false">
      <c r="B77" s="22" t="s">
        <v>17</v>
      </c>
      <c r="C77" s="26" t="s">
        <v>190</v>
      </c>
      <c r="D77" s="26"/>
      <c r="E77" s="113" t="n">
        <f aca="false">PERC_SUBSTITUTO_AUSENCIAS_LEGAIS</f>
        <v>2.22222222222222</v>
      </c>
      <c r="F77" s="109" t="n">
        <f aca="false">PERC_SUBSTITUTO_AUSENCIAS_LEGAIS%*(MOD_1_REMUNERACAO_12X36_NOT+MOD_2_ENCARGOS_BENEFICIOS_12X36_NOT+MOD_3_PROVISAO_RESCISAO_12X36_NOT)</f>
        <v>82.568632657746</v>
      </c>
      <c r="G77" s="109" t="n">
        <f aca="false">PERC_SUBSTITUTO_AUSENCIAS_LEGAIS%*(G32+G70+G112)</f>
        <v>70.7820740582801</v>
      </c>
      <c r="H77" s="109" t="n">
        <f aca="false">PERC_SUBSTITUTO_AUSENCIAS_LEGAIS%*(H32+H70+H112)</f>
        <v>74.4540924756773</v>
      </c>
    </row>
    <row r="78" s="7" customFormat="true" ht="15.95" hidden="false" customHeight="true" outlineLevel="0" collapsed="false">
      <c r="B78" s="22" t="s">
        <v>20</v>
      </c>
      <c r="C78" s="69" t="s">
        <v>192</v>
      </c>
      <c r="D78" s="69"/>
      <c r="E78" s="111" t="n">
        <f aca="false">PERC_SUBSTITUTO_LICENCA_PATERNIDADE</f>
        <v>0.0394444444444444</v>
      </c>
      <c r="F78" s="107" t="n">
        <f aca="false">PERC_SUBSTITUTO_LICENCA_PATERNIDADE%*(MOD_1_REMUNERACAO_12X36_NOT+MOD_2_ENCARGOS_BENEFICIOS_12X36_NOT+MOD_3_PROVISAO_RESCISAO_12X36_NOT)</f>
        <v>1.46559322967499</v>
      </c>
      <c r="G78" s="107" t="n">
        <f aca="false">PERC_SUBSTITUTO_LICENCA_PATERNIDADE%*(G32+G70+G112)</f>
        <v>1.25638181453447</v>
      </c>
      <c r="H78" s="107" t="n">
        <f aca="false">PERC_SUBSTITUTO_LICENCA_PATERNIDADE%*(H32+H70+H112)</f>
        <v>1.32156014144327</v>
      </c>
    </row>
    <row r="79" s="7" customFormat="true" ht="16.5" hidden="false" customHeight="true" outlineLevel="0" collapsed="false">
      <c r="B79" s="22" t="s">
        <v>23</v>
      </c>
      <c r="C79" s="26" t="s">
        <v>194</v>
      </c>
      <c r="D79" s="26"/>
      <c r="E79" s="113" t="n">
        <f aca="false">PERC_SUBSTITUTO_ACID_TRAB</f>
        <v>0.0185302229372558</v>
      </c>
      <c r="F79" s="109" t="n">
        <f aca="false">PERC_SUBSTITUTO_ACID_TRAB%*(MOD_1_REMUNERACAO_12X36_NOT+MOD_2_ENCARGOS_BENEFICIOS_12X36_NOT+MOD_3_PROVISAO_RESCISAO_12X36_NOT)</f>
        <v>0.688506826847586</v>
      </c>
      <c r="G79" s="109" t="n">
        <f aca="false">PERC_SUBSTITUTO_ACID_TRAB%*(G32+G70+G112)</f>
        <v>0.590223425517577</v>
      </c>
      <c r="H79" s="109" t="n">
        <f aca="false">PERC_SUBSTITUTO_ACID_TRAB%*(H32+H70+H112)</f>
        <v>0.620842919474413</v>
      </c>
    </row>
    <row r="80" customFormat="false" ht="16.5" hidden="false" customHeight="true" outlineLevel="0" collapsed="false">
      <c r="A80" s="7"/>
      <c r="B80" s="22" t="s">
        <v>25</v>
      </c>
      <c r="C80" s="69" t="s">
        <v>196</v>
      </c>
      <c r="D80" s="69"/>
      <c r="E80" s="111" t="n">
        <f aca="false">PERC_SUBSTITUTO_AFAST_MATERN</f>
        <v>0.13064</v>
      </c>
      <c r="F80" s="107" t="n">
        <f aca="false">PERC_SUBSTITUTO_AFAST_MATERN%*(MOD_1_REMUNERACAO_12X36_NOT+MOD_2_ENCARGOS_BENEFICIOS_12X36_NOT+MOD_3_PROVISAO_RESCISAO_12X36_NOT)</f>
        <v>4.85404477668357</v>
      </c>
      <c r="G80" s="107" t="n">
        <f aca="false">PERC_SUBSTITUTO_AFAST_MATERN%*(G32+G70+G112)</f>
        <v>4.16113656973817</v>
      </c>
      <c r="H80" s="107" t="n">
        <f aca="false">PERC_SUBSTITUTO_AFAST_MATERN%*(H32+H70+H112)</f>
        <v>4.37700718846012</v>
      </c>
    </row>
    <row r="81" customFormat="false" ht="16.4" hidden="false" customHeight="false" outlineLevel="0" collapsed="false">
      <c r="A81" s="7"/>
      <c r="B81" s="22" t="s">
        <v>60</v>
      </c>
      <c r="C81" s="149" t="str">
        <f aca="false">OUTRAS_AUSENCIAS_DESCRICAO</f>
        <v>Outras Ausências (Especificar - em %)</v>
      </c>
      <c r="D81" s="149"/>
      <c r="E81" s="150" t="n">
        <f aca="false">PERC_SUBSTITUTO_OUTRAS_AUSENCIAS</f>
        <v>0</v>
      </c>
      <c r="F81" s="109" t="n">
        <f aca="false">PERC_SUBSTITUTO_OUTRAS_AUSENCIAS%*(MOD_1_REMUNERACAO_12X36_NOT+MOD_2_ENCARGOS_BENEFICIOS_12X36_NOT+MOD_3_PROVISAO_RESCISAO_12X36_NOT)</f>
        <v>0</v>
      </c>
      <c r="G81" s="109" t="n">
        <f aca="false">PERC_SUBSTITUTO_OUTRAS_AUSENCIAS%*(G32+G70+G112)</f>
        <v>0</v>
      </c>
      <c r="H81" s="109" t="n">
        <f aca="false">PERC_SUBSTITUTO_OUTRAS_AUSENCIAS%*(H32+H70+H112)</f>
        <v>0</v>
      </c>
    </row>
    <row r="82" customFormat="false" ht="13.8" hidden="false" customHeight="false" outlineLevel="0" collapsed="false">
      <c r="A82" s="7"/>
      <c r="B82" s="70" t="s">
        <v>76</v>
      </c>
      <c r="C82" s="70"/>
      <c r="D82" s="70"/>
      <c r="E82" s="70"/>
      <c r="F82" s="145" t="n">
        <f aca="false">SUM(F76:F81)</f>
        <v>399.2091499575</v>
      </c>
      <c r="G82" s="145" t="n">
        <f aca="false">SUM(G76:G81)</f>
        <v>342.222593586621</v>
      </c>
      <c r="H82" s="145" t="n">
        <f aca="false">SUM(H76:H81)</f>
        <v>359.976349508845</v>
      </c>
    </row>
    <row r="83" customFormat="false" ht="15" hidden="false" customHeight="true" outlineLevel="0" collapsed="false">
      <c r="A83" s="7"/>
      <c r="B83" s="59" t="str">
        <f aca="false">SUBMOD_4_2</f>
        <v>Submódulo 4.2 – Indenização devida ao empregado pelo trabalho no intervalo intrajornada</v>
      </c>
      <c r="C83" s="76"/>
      <c r="D83" s="77"/>
      <c r="E83" s="78"/>
      <c r="F83" s="78"/>
    </row>
    <row r="84" customFormat="false" ht="31.3" hidden="false" customHeight="false" outlineLevel="0" collapsed="false">
      <c r="A84" s="7"/>
      <c r="B84" s="61" t="s">
        <v>104</v>
      </c>
      <c r="C84" s="70" t="str">
        <f aca="false">'PRMS EM CAMPO GRANDE'!C84</f>
        <v>Intrajornada</v>
      </c>
      <c r="D84" s="70"/>
      <c r="E84" s="70"/>
      <c r="F84" s="135" t="s">
        <v>207</v>
      </c>
      <c r="G84" s="136" t="s">
        <v>208</v>
      </c>
      <c r="H84" s="136" t="s">
        <v>209</v>
      </c>
    </row>
    <row r="85" customFormat="false" ht="16.4" hidden="false" customHeight="false" outlineLevel="0" collapsed="false">
      <c r="A85" s="7"/>
      <c r="B85" s="61"/>
      <c r="C85" s="70"/>
      <c r="D85" s="70"/>
      <c r="E85" s="70"/>
      <c r="F85" s="22" t="s">
        <v>111</v>
      </c>
      <c r="G85" s="22" t="s">
        <v>111</v>
      </c>
      <c r="H85" s="22" t="s">
        <v>111</v>
      </c>
    </row>
    <row r="86" customFormat="false" ht="16.5" hidden="false" customHeight="true" outlineLevel="0" collapsed="false">
      <c r="A86" s="7"/>
      <c r="B86" s="61" t="s">
        <v>15</v>
      </c>
      <c r="C86" s="69" t="str">
        <f aca="false">'PRMS EM CAMPO GRANDE'!C86</f>
        <v>Trabalho durante o intervalo intrajornada</v>
      </c>
      <c r="D86" s="69"/>
      <c r="E86" s="69"/>
      <c r="F86" s="104" t="n">
        <f aca="false">((MOD_1_REMUNERACAO_12X36_NOT)/DIVISOR_DE_HORAS)*((TEMPO_INTERVALO_REFEICAO/HORA_NORMAL)+PERC_HORA_EXTRA%)*DIAS_TRABALHADOS_NO_MES_12X36</f>
        <v>213.396867779694</v>
      </c>
      <c r="G86" s="104" t="n">
        <f aca="false">((G32)/DIVISOR_DE_HORAS)*((TEMPO_INTERVALO_REFEICAO/HORA_NORMAL)+PERC_HORA_EXTRA%)*DIAS_TRABALHADOS_NO_MES_12X36</f>
        <v>178.323002711777</v>
      </c>
      <c r="H86" s="104" t="n">
        <f aca="false">((H32)/DIVISOR_DE_HORAS)*((TEMPO_INTERVALO_REFEICAO/HORA_NORMAL)+PERC_HORA_EXTRA%)*DIAS_UTEIS_TRABALHADOS_NO_MES_44HORAS</f>
        <v>259.76925</v>
      </c>
    </row>
    <row r="87" customFormat="false" ht="13.8" hidden="false" customHeight="false" outlineLevel="0" collapsed="false">
      <c r="A87" s="7"/>
      <c r="B87" s="70" t="s">
        <v>76</v>
      </c>
      <c r="C87" s="70"/>
      <c r="D87" s="70"/>
      <c r="E87" s="70"/>
      <c r="F87" s="145" t="n">
        <f aca="false">SUM(F86)</f>
        <v>213.396867779694</v>
      </c>
      <c r="G87" s="145" t="n">
        <f aca="false">SUM(G86)</f>
        <v>178.323002711777</v>
      </c>
      <c r="H87" s="145" t="n">
        <f aca="false">SUM(H86)</f>
        <v>259.76925</v>
      </c>
    </row>
    <row r="88" customFormat="false" ht="7.5" hidden="false" customHeight="true" outlineLevel="0" collapsed="false">
      <c r="B88" s="148"/>
      <c r="C88" s="103"/>
      <c r="D88" s="47"/>
      <c r="E88" s="60"/>
      <c r="F88" s="60"/>
    </row>
    <row r="89" customFormat="false" ht="16.5" hidden="false" customHeight="false" outlineLevel="0" collapsed="false">
      <c r="B89" s="59" t="s">
        <v>109</v>
      </c>
      <c r="C89" s="76"/>
      <c r="D89" s="76"/>
      <c r="E89" s="78"/>
      <c r="F89" s="78"/>
    </row>
    <row r="90" customFormat="false" ht="31.3" hidden="false" customHeight="true" outlineLevel="0" collapsed="false">
      <c r="B90" s="82" t="n">
        <v>5</v>
      </c>
      <c r="C90" s="84" t="s">
        <v>110</v>
      </c>
      <c r="D90" s="84"/>
      <c r="E90" s="84"/>
      <c r="F90" s="135" t="s">
        <v>207</v>
      </c>
      <c r="G90" s="136" t="s">
        <v>208</v>
      </c>
      <c r="H90" s="136" t="s">
        <v>209</v>
      </c>
    </row>
    <row r="91" customFormat="false" ht="15.75" hidden="false" customHeight="true" outlineLevel="0" collapsed="false">
      <c r="B91" s="82"/>
      <c r="C91" s="84"/>
      <c r="D91" s="84"/>
      <c r="E91" s="84"/>
      <c r="F91" s="84" t="s">
        <v>111</v>
      </c>
      <c r="G91" s="84" t="s">
        <v>111</v>
      </c>
      <c r="H91" s="84" t="s">
        <v>111</v>
      </c>
    </row>
    <row r="92" customFormat="false" ht="16.5" hidden="false" customHeight="true" outlineLevel="0" collapsed="false">
      <c r="B92" s="151" t="s">
        <v>15</v>
      </c>
      <c r="C92" s="152" t="s">
        <v>218</v>
      </c>
      <c r="D92" s="152"/>
      <c r="E92" s="152"/>
      <c r="F92" s="153" t="n">
        <f aca="false">VALOR_UNIFORME_POSTO</f>
        <v>72.085</v>
      </c>
      <c r="G92" s="153" t="n">
        <f aca="false">VALOR_UNIFORME_POSTO</f>
        <v>72.085</v>
      </c>
      <c r="H92" s="153" t="n">
        <f aca="false">VALOR_UNIFORME_POSTO</f>
        <v>72.085</v>
      </c>
      <c r="I92" s="140"/>
    </row>
    <row r="93" customFormat="false" ht="16.5" hidden="false" customHeight="true" outlineLevel="0" collapsed="false">
      <c r="B93" s="151" t="s">
        <v>17</v>
      </c>
      <c r="C93" s="154" t="s">
        <v>219</v>
      </c>
      <c r="D93" s="154"/>
      <c r="E93" s="154"/>
      <c r="F93" s="155"/>
      <c r="G93" s="155"/>
      <c r="H93" s="155"/>
    </row>
    <row r="94" customFormat="false" ht="16.5" hidden="false" customHeight="true" outlineLevel="0" collapsed="false">
      <c r="B94" s="151" t="s">
        <v>20</v>
      </c>
      <c r="C94" s="152" t="s">
        <v>220</v>
      </c>
      <c r="D94" s="152"/>
      <c r="E94" s="152"/>
      <c r="F94" s="153" t="n">
        <f aca="false">VALOR_EQUIP_12X36_NOT+VALOR_EQUIP_USO_COMPART_12X36</f>
        <v>24.0749520833333</v>
      </c>
      <c r="G94" s="153" t="n">
        <f aca="false">VALOR_EQUIP_12X36_DIURNO+VALOR_EQUIP_USO_COMPART_12X36</f>
        <v>18.32654375</v>
      </c>
      <c r="H94" s="153" t="n">
        <f aca="false">VALOR_EQUIP_POSTO_44_HORAS+VALOR_EQUIP_LEITOR_POSTO_44_INT</f>
        <v>87.9549583333333</v>
      </c>
    </row>
    <row r="95" customFormat="false" ht="16.4" hidden="false" customHeight="true" outlineLevel="0" collapsed="false">
      <c r="B95" s="151" t="s">
        <v>23</v>
      </c>
      <c r="C95" s="156" t="s">
        <v>221</v>
      </c>
      <c r="D95" s="156"/>
      <c r="E95" s="156"/>
      <c r="F95" s="155"/>
      <c r="G95" s="155"/>
      <c r="H95" s="155"/>
    </row>
    <row r="96" customFormat="false" ht="16.5" hidden="false" customHeight="true" outlineLevel="0" collapsed="false">
      <c r="B96" s="83" t="s">
        <v>76</v>
      </c>
      <c r="C96" s="83"/>
      <c r="D96" s="83"/>
      <c r="E96" s="83"/>
      <c r="F96" s="157" t="n">
        <f aca="false">SUM(F92:F95)</f>
        <v>96.1599520833333</v>
      </c>
      <c r="G96" s="157" t="n">
        <f aca="false">SUM(G92:G95)</f>
        <v>90.41154375</v>
      </c>
      <c r="H96" s="157" t="n">
        <f aca="false">SUM(H92:H95)</f>
        <v>160.039958333333</v>
      </c>
    </row>
    <row r="97" customFormat="false" ht="7.5" hidden="false" customHeight="true" outlineLevel="0" collapsed="false">
      <c r="B97" s="148"/>
      <c r="C97" s="103"/>
      <c r="D97" s="47"/>
      <c r="E97" s="60"/>
      <c r="F97" s="60"/>
    </row>
    <row r="98" customFormat="false" ht="15" hidden="false" customHeight="true" outlineLevel="0" collapsed="false">
      <c r="B98" s="85" t="s">
        <v>113</v>
      </c>
      <c r="C98" s="85"/>
      <c r="D98" s="85"/>
      <c r="E98" s="85"/>
      <c r="F98" s="85"/>
    </row>
    <row r="99" customFormat="false" ht="31.3" hidden="false" customHeight="true" outlineLevel="0" collapsed="false">
      <c r="B99" s="61" t="n">
        <v>6</v>
      </c>
      <c r="C99" s="70" t="s">
        <v>114</v>
      </c>
      <c r="D99" s="70"/>
      <c r="E99" s="22" t="s">
        <v>65</v>
      </c>
      <c r="F99" s="135" t="s">
        <v>207</v>
      </c>
      <c r="G99" s="136" t="s">
        <v>208</v>
      </c>
      <c r="H99" s="136" t="s">
        <v>209</v>
      </c>
    </row>
    <row r="100" customFormat="false" ht="16.4" hidden="false" customHeight="false" outlineLevel="0" collapsed="false">
      <c r="B100" s="61"/>
      <c r="C100" s="70"/>
      <c r="D100" s="70"/>
      <c r="E100" s="22"/>
      <c r="F100" s="22" t="s">
        <v>111</v>
      </c>
      <c r="G100" s="22" t="s">
        <v>111</v>
      </c>
      <c r="H100" s="22" t="s">
        <v>111</v>
      </c>
    </row>
    <row r="101" customFormat="false" ht="16.5" hidden="false" customHeight="true" outlineLevel="0" collapsed="false">
      <c r="B101" s="61" t="s">
        <v>15</v>
      </c>
      <c r="C101" s="69" t="s">
        <v>117</v>
      </c>
      <c r="D101" s="69"/>
      <c r="E101" s="158" t="n">
        <f aca="false">PERC_CUSTOS_INDIRETOS</f>
        <v>4.85</v>
      </c>
      <c r="F101" s="107" t="n">
        <f aca="false">PERC_CUSTOS_INDIRETOS_CORUMBA%*(MOD_1_REMUNERACAO_12X36_NOT+MOD_2_ENCARGOS_BENEFICIOS_12X36_NOT+MOD_3_PROVISAO_RESCISAO_12X36_NOT+MOD_4_CUSTO_REPOSICAO_12X36_NOT+MOD_5_INSUMOS_12X36_NOT)</f>
        <v>214.581190311826</v>
      </c>
      <c r="G101" s="107" t="n">
        <f aca="false">PERC_CUSTOS_INDIRETOS_CORUMBA%*(G111+G112+G113+G114+G115)</f>
        <v>184.113297924544</v>
      </c>
      <c r="H101" s="107" t="n">
        <f aca="false">PERC_CUSTOS_INDIRETOS_CORUMBA%*(H111+H112+H113+H114+H115)</f>
        <v>200.315656383512</v>
      </c>
    </row>
    <row r="102" customFormat="false" ht="15.75" hidden="false" customHeight="true" outlineLevel="0" collapsed="false">
      <c r="B102" s="22" t="s">
        <v>17</v>
      </c>
      <c r="C102" s="26" t="s">
        <v>118</v>
      </c>
      <c r="D102" s="26"/>
      <c r="E102" s="159" t="n">
        <f aca="false">PERC_LUCRO</f>
        <v>5.45</v>
      </c>
      <c r="F102" s="109" t="n">
        <f aca="false">PERC_LUCRO_CORUMBA%*(MOD_1_REMUNERACAO_12X36_NOT+MOD_2_ENCARGOS_BENEFICIOS_12X36_NOT+MOD_3_PROVISAO_RESCISAO_12X36_NOT+MOD_4_CUSTO_REPOSICAO_12X36_NOT+MOD_5_INSUMOS_12X36_NOT+AL_6_A_CUSTOS_INDIRETOS_12X36_NOT)</f>
        <v>252.821991820335</v>
      </c>
      <c r="G102" s="109" t="n">
        <f aca="false">PERC_LUCRO_CORUMBA%*(G111+G112+G113+G114+G115+G101)</f>
        <v>216.924375497457</v>
      </c>
      <c r="H102" s="109" t="n">
        <f aca="false">PERC_LUCRO_CORUMBA%*(H111+H112+H113+H114+H115+H101)</f>
        <v>236.014177971899</v>
      </c>
    </row>
    <row r="103" customFormat="false" ht="16.5" hidden="false" customHeight="true" outlineLevel="0" collapsed="false">
      <c r="B103" s="22" t="s">
        <v>20</v>
      </c>
      <c r="C103" s="69" t="s">
        <v>119</v>
      </c>
      <c r="D103" s="69"/>
      <c r="E103" s="158" t="n">
        <f aca="false">SUM(E104:E106)</f>
        <v>8.65</v>
      </c>
      <c r="F103" s="107" t="n">
        <f aca="false">SUM(F104:F106)</f>
        <v>463.204197333535</v>
      </c>
      <c r="G103" s="107" t="n">
        <f aca="false">SUM(G104:G106)</f>
        <v>397.434892870328</v>
      </c>
      <c r="H103" s="107" t="n">
        <f aca="false">SUM(H104:H106)</f>
        <v>432.41000151797</v>
      </c>
    </row>
    <row r="104" customFormat="false" ht="15.75" hidden="false" customHeight="true" outlineLevel="0" collapsed="false">
      <c r="B104" s="92" t="s">
        <v>120</v>
      </c>
      <c r="C104" s="160" t="s">
        <v>121</v>
      </c>
      <c r="D104" s="160"/>
      <c r="E104" s="161" t="n">
        <f aca="false">PERC_PIS</f>
        <v>0.65</v>
      </c>
      <c r="F104" s="162" t="n">
        <f aca="false">((MOD_1_REMUNERACAO_12X36_NOT+MOD_2_ENCARGOS_BENEFICIOS_12X36_NOT+MOD_3_PROVISAO_RESCISAO_12X36_NOT+MOD_4_CUSTO_REPOSICAO_12X36_NOT+MOD_5_INSUMOS_12X36_NOT+AL_6_A_CUSTOS_INDIRETOS_12X36_NOT+AL_6_B_LUCRO_12X36_NOT)*PERC_PIS%)/(1-E103%)</f>
        <v>34.8072518227512</v>
      </c>
      <c r="G104" s="162" t="n">
        <f aca="false">((G111+G112+G113+G114+G115+G101+G102)*PERC_PIS%)/(1-E103%)</f>
        <v>29.8650497532617</v>
      </c>
      <c r="H104" s="162" t="n">
        <f aca="false">((H111+H112+H113+H114+H115+H101+H102)*PERC_PIS%)/(1-E103%)</f>
        <v>32.4932371082868</v>
      </c>
    </row>
    <row r="105" customFormat="false" ht="16.5" hidden="false" customHeight="true" outlineLevel="0" collapsed="false">
      <c r="B105" s="92" t="s">
        <v>122</v>
      </c>
      <c r="C105" s="163" t="s">
        <v>123</v>
      </c>
      <c r="D105" s="163"/>
      <c r="E105" s="164" t="n">
        <f aca="false">PERC_COFINS</f>
        <v>3</v>
      </c>
      <c r="F105" s="165" t="n">
        <f aca="false">((MOD_1_REMUNERACAO_12X36_NOT+MOD_2_ENCARGOS_BENEFICIOS_12X36_NOT+MOD_3_PROVISAO_RESCISAO_12X36_NOT+MOD_4_CUSTO_REPOSICAO_12X36_NOT+MOD_5_INSUMOS_12X36_NOT+AL_6_A_CUSTOS_INDIRETOS_12X36_NOT+AL_6_B_LUCRO_12X36_NOT)*PERC_COFINS%)/(1-E103%)</f>
        <v>160.648854566544</v>
      </c>
      <c r="G105" s="165" t="n">
        <f aca="false">((G111+G112+G113+G114+G115+G101+G102)*PERC_COFINS%)/(1-E103%)</f>
        <v>137.8386911689</v>
      </c>
      <c r="H105" s="165" t="n">
        <f aca="false">((H111+H112+H113+H114+H115+H101+H102)*PERC_COFINS%)/(1-E103%)</f>
        <v>149.968786653631</v>
      </c>
    </row>
    <row r="106" s="91" customFormat="true" ht="16.5" hidden="false" customHeight="true" outlineLevel="0" collapsed="false">
      <c r="B106" s="92" t="s">
        <v>124</v>
      </c>
      <c r="C106" s="160" t="s">
        <v>125</v>
      </c>
      <c r="D106" s="160"/>
      <c r="E106" s="161" t="n">
        <f aca="false">PERC_ISS_CORUMBA</f>
        <v>5</v>
      </c>
      <c r="F106" s="162" t="n">
        <f aca="false">((MOD_1_REMUNERACAO_12X36_NOT+MOD_2_ENCARGOS_BENEFICIOS_12X36_NOT+MOD_3_PROVISAO_RESCISAO_12X36_NOT+MOD_4_CUSTO_REPOSICAO_12X36_NOT+MOD_5_INSUMOS_12X36_NOT+AL_6_A_CUSTOS_INDIRETOS_12X36_NOT+AL_6_B_LUCRO_12X36_NOT)*PERC_ISS_CORUMBA%)/(1-E103%)</f>
        <v>267.74809094424</v>
      </c>
      <c r="G106" s="162" t="n">
        <f aca="false">((G111+G112+G113+G114+G115+G101+G102)*PERC_ISS_CORUMBA%)/(1-E103%)</f>
        <v>229.731151948167</v>
      </c>
      <c r="H106" s="162" t="n">
        <f aca="false">((H111+H112+H113+H114+H115+H101+H102)*PERC_ISS_CORUMBA%)/(1-E103%)</f>
        <v>249.947977756052</v>
      </c>
    </row>
    <row r="107" customFormat="false" ht="16.4" hidden="false" customHeight="false" outlineLevel="0" collapsed="false">
      <c r="A107" s="91"/>
      <c r="B107" s="70" t="s">
        <v>76</v>
      </c>
      <c r="C107" s="70"/>
      <c r="D107" s="70"/>
      <c r="E107" s="70"/>
      <c r="F107" s="166" t="n">
        <f aca="false">AL_6_A_CUSTOS_INDIRETOS_12X36_NOT+AL_6_B_LUCRO_12X36_NOT+AL_6_C_TRIBUTOS_12X36_NOT</f>
        <v>930.607379465697</v>
      </c>
      <c r="G107" s="166" t="n">
        <f aca="false">SUM(G101:G103)</f>
        <v>798.472566292329</v>
      </c>
      <c r="H107" s="166" t="n">
        <f aca="false">SUM(H101:H103)</f>
        <v>868.739835873381</v>
      </c>
    </row>
    <row r="108" customFormat="false" ht="20.25" hidden="false" customHeight="false" outlineLevel="0" collapsed="false">
      <c r="A108" s="91"/>
      <c r="B108" s="167" t="s">
        <v>223</v>
      </c>
      <c r="C108" s="168"/>
      <c r="D108" s="168"/>
      <c r="E108" s="168"/>
      <c r="F108" s="169"/>
    </row>
    <row r="109" customFormat="false" ht="31.5" hidden="false" customHeight="true" outlineLevel="0" collapsed="false">
      <c r="A109" s="91"/>
      <c r="B109" s="22" t="s">
        <v>224</v>
      </c>
      <c r="C109" s="62" t="s">
        <v>225</v>
      </c>
      <c r="D109" s="62"/>
      <c r="E109" s="62"/>
      <c r="F109" s="135" t="s">
        <v>207</v>
      </c>
      <c r="G109" s="136" t="s">
        <v>208</v>
      </c>
      <c r="H109" s="136" t="s">
        <v>209</v>
      </c>
    </row>
    <row r="110" s="86" customFormat="true" ht="16.5" hidden="false" customHeight="true" outlineLevel="0" collapsed="false">
      <c r="B110" s="22"/>
      <c r="C110" s="62"/>
      <c r="D110" s="62"/>
      <c r="E110" s="62"/>
      <c r="F110" s="22" t="s">
        <v>226</v>
      </c>
      <c r="G110" s="22" t="s">
        <v>226</v>
      </c>
      <c r="H110" s="22" t="s">
        <v>226</v>
      </c>
    </row>
    <row r="111" s="91" customFormat="true" ht="16.5" hidden="false" customHeight="true" outlineLevel="0" collapsed="false">
      <c r="B111" s="61" t="n">
        <v>1</v>
      </c>
      <c r="C111" s="69" t="s">
        <v>53</v>
      </c>
      <c r="D111" s="69"/>
      <c r="E111" s="69"/>
      <c r="F111" s="107" t="n">
        <f aca="false">MOD_1_REMUNERACAO_12X36_NOT</f>
        <v>2086.54715162368</v>
      </c>
      <c r="G111" s="107" t="n">
        <f aca="false">G32</f>
        <v>1743.60269318182</v>
      </c>
      <c r="H111" s="107" t="n">
        <f aca="false">H32</f>
        <v>1731.795</v>
      </c>
    </row>
    <row r="112" s="87" customFormat="true" ht="16.5" hidden="false" customHeight="true" outlineLevel="0" collapsed="false">
      <c r="B112" s="22" t="n">
        <v>2</v>
      </c>
      <c r="C112" s="26" t="s">
        <v>227</v>
      </c>
      <c r="D112" s="26"/>
      <c r="E112" s="26"/>
      <c r="F112" s="109" t="n">
        <f aca="false">MOD_2_ENCARGOS_BENEFICIOS_12X36_NOT</f>
        <v>1566.58851884431</v>
      </c>
      <c r="G112" s="109" t="n">
        <f aca="false">G39+G51+G60</f>
        <v>1388.25740045455</v>
      </c>
      <c r="H112" s="109" t="n">
        <f aca="false">H39+H51+H60</f>
        <v>1563.0029</v>
      </c>
    </row>
    <row r="113" customFormat="false" ht="16.5" hidden="false" customHeight="true" outlineLevel="0" collapsed="false">
      <c r="A113" s="87"/>
      <c r="B113" s="22" t="n">
        <v>3</v>
      </c>
      <c r="C113" s="69" t="s">
        <v>147</v>
      </c>
      <c r="D113" s="69"/>
      <c r="E113" s="69"/>
      <c r="F113" s="107" t="n">
        <f aca="false">MOD_3_PROVISAO_RESCISAO_12X36_NOT</f>
        <v>62.4527991305796</v>
      </c>
      <c r="G113" s="107" t="n">
        <f aca="false">G70</f>
        <v>53.3332389862397</v>
      </c>
      <c r="H113" s="107" t="n">
        <f aca="false">H70</f>
        <v>55.6362614054832</v>
      </c>
    </row>
    <row r="114" customFormat="false" ht="16.5" hidden="false" customHeight="true" outlineLevel="0" collapsed="false">
      <c r="A114" s="87"/>
      <c r="B114" s="22" t="n">
        <v>4</v>
      </c>
      <c r="C114" s="26" t="str">
        <f aca="false">'PRMS EM CAMPO GRANDE'!C114</f>
        <v>Custo de Reposição do Profissional Ausente/Intrajornada</v>
      </c>
      <c r="D114" s="26"/>
      <c r="E114" s="26"/>
      <c r="F114" s="109" t="n">
        <f aca="false">MOD_4_CUSTO_REPOSICAO_12X36_NOT</f>
        <v>612.606017737194</v>
      </c>
      <c r="G114" s="109" t="n">
        <f aca="false">G82+G87</f>
        <v>520.545596298398</v>
      </c>
      <c r="H114" s="109" t="n">
        <f aca="false">H82+H87</f>
        <v>619.745599508845</v>
      </c>
    </row>
    <row r="115" customFormat="false" ht="16.5" hidden="false" customHeight="true" outlineLevel="0" collapsed="false">
      <c r="A115" s="87"/>
      <c r="B115" s="22" t="n">
        <v>5</v>
      </c>
      <c r="C115" s="69" t="s">
        <v>110</v>
      </c>
      <c r="D115" s="69"/>
      <c r="E115" s="69"/>
      <c r="F115" s="107" t="n">
        <f aca="false">MOD_5_INSUMOS_12X36_NOT</f>
        <v>96.1599520833333</v>
      </c>
      <c r="G115" s="107" t="n">
        <f aca="false">G96</f>
        <v>90.41154375</v>
      </c>
      <c r="H115" s="107" t="n">
        <f aca="false">H96</f>
        <v>160.039958333333</v>
      </c>
    </row>
    <row r="116" customFormat="false" ht="16.5" hidden="false" customHeight="true" outlineLevel="0" collapsed="false">
      <c r="A116" s="87"/>
      <c r="B116" s="22" t="n">
        <v>6</v>
      </c>
      <c r="C116" s="26" t="s">
        <v>114</v>
      </c>
      <c r="D116" s="26"/>
      <c r="E116" s="26"/>
      <c r="F116" s="109" t="n">
        <f aca="false">MOD_6_CUSTOS_IND_LUCRO_TRIB_12X36_NOT</f>
        <v>930.607379465697</v>
      </c>
      <c r="G116" s="109" t="n">
        <f aca="false">G107</f>
        <v>798.472566292329</v>
      </c>
      <c r="H116" s="109" t="n">
        <f aca="false">H107</f>
        <v>868.739835873381</v>
      </c>
    </row>
    <row r="117" customFormat="false" ht="16.5" hidden="false" customHeight="true" outlineLevel="0" collapsed="false">
      <c r="B117" s="62" t="s">
        <v>229</v>
      </c>
      <c r="C117" s="62"/>
      <c r="D117" s="62"/>
      <c r="E117" s="62"/>
      <c r="F117" s="166" t="n">
        <f aca="false">SUM(F111:F116)</f>
        <v>5354.96181888479</v>
      </c>
      <c r="G117" s="166" t="n">
        <f aca="false">SUM(G111:G116)</f>
        <v>4594.62303896333</v>
      </c>
      <c r="H117" s="166" t="n">
        <f aca="false">SUM(H111:H116)</f>
        <v>4998.95955512104</v>
      </c>
    </row>
    <row r="118" customFormat="false" ht="16.5" hidden="false" customHeight="true" outlineLevel="0" collapsed="false">
      <c r="B118" s="62" t="s">
        <v>230</v>
      </c>
      <c r="C118" s="62"/>
      <c r="D118" s="62"/>
      <c r="E118" s="62"/>
      <c r="F118" s="166" t="n">
        <f aca="false">VALOR_TOTAL_EMPREGADO_12x36_NOT*EMPREG_POR_POSTO_12X36_NOT</f>
        <v>10709.9236377696</v>
      </c>
      <c r="G118" s="166" t="n">
        <f aca="false">G117*G21</f>
        <v>9189.24607792667</v>
      </c>
      <c r="H118" s="166" t="n">
        <f aca="false">H117*H21</f>
        <v>4998.95955512104</v>
      </c>
    </row>
  </sheetData>
  <mergeCells count="119">
    <mergeCell ref="B1:H1"/>
    <mergeCell ref="B2:D2"/>
    <mergeCell ref="F2:H2"/>
    <mergeCell ref="B3:H3"/>
    <mergeCell ref="B4:H4"/>
    <mergeCell ref="B5:C5"/>
    <mergeCell ref="D5:H5"/>
    <mergeCell ref="B6:C6"/>
    <mergeCell ref="D6:E6"/>
    <mergeCell ref="F6:H6"/>
    <mergeCell ref="B7:H7"/>
    <mergeCell ref="C8:E8"/>
    <mergeCell ref="F8:H8"/>
    <mergeCell ref="D9:H9"/>
    <mergeCell ref="C10:E10"/>
    <mergeCell ref="F10:H10"/>
    <mergeCell ref="C11:E11"/>
    <mergeCell ref="F11:H11"/>
    <mergeCell ref="C12:E12"/>
    <mergeCell ref="F12:H12"/>
    <mergeCell ref="B13:H13"/>
    <mergeCell ref="C14:D14"/>
    <mergeCell ref="E14:H14"/>
    <mergeCell ref="D15:H15"/>
    <mergeCell ref="D16:H16"/>
    <mergeCell ref="C17:E17"/>
    <mergeCell ref="F17:H17"/>
    <mergeCell ref="B18:H18"/>
    <mergeCell ref="B19:H19"/>
    <mergeCell ref="B20:E20"/>
    <mergeCell ref="B21:E21"/>
    <mergeCell ref="B23:B24"/>
    <mergeCell ref="C23:E24"/>
    <mergeCell ref="C25:E25"/>
    <mergeCell ref="C26:E26"/>
    <mergeCell ref="C27:E27"/>
    <mergeCell ref="C28:E28"/>
    <mergeCell ref="C29:E29"/>
    <mergeCell ref="C30:E30"/>
    <mergeCell ref="C31:E31"/>
    <mergeCell ref="B32:E32"/>
    <mergeCell ref="B35:B36"/>
    <mergeCell ref="C35:D36"/>
    <mergeCell ref="E35:E36"/>
    <mergeCell ref="C37:D37"/>
    <mergeCell ref="C38:D38"/>
    <mergeCell ref="B39:E39"/>
    <mergeCell ref="B40:F40"/>
    <mergeCell ref="B41:B42"/>
    <mergeCell ref="C41:D42"/>
    <mergeCell ref="E41:E42"/>
    <mergeCell ref="C43:D43"/>
    <mergeCell ref="C44:D44"/>
    <mergeCell ref="C45:D45"/>
    <mergeCell ref="C46:D46"/>
    <mergeCell ref="C47:D47"/>
    <mergeCell ref="C48:D48"/>
    <mergeCell ref="C49:D49"/>
    <mergeCell ref="C50:D50"/>
    <mergeCell ref="B51:E51"/>
    <mergeCell ref="B53:B54"/>
    <mergeCell ref="C53:E54"/>
    <mergeCell ref="C55:E55"/>
    <mergeCell ref="C56:E56"/>
    <mergeCell ref="C57:E57"/>
    <mergeCell ref="C58:E58"/>
    <mergeCell ref="C59:E59"/>
    <mergeCell ref="B60:E60"/>
    <mergeCell ref="B62:B63"/>
    <mergeCell ref="C62:D63"/>
    <mergeCell ref="E62:E63"/>
    <mergeCell ref="C64:D64"/>
    <mergeCell ref="C65:D65"/>
    <mergeCell ref="C66:D66"/>
    <mergeCell ref="C67:D67"/>
    <mergeCell ref="C68:D68"/>
    <mergeCell ref="C69:D69"/>
    <mergeCell ref="B70:E70"/>
    <mergeCell ref="B74:B75"/>
    <mergeCell ref="C74:D75"/>
    <mergeCell ref="E74:E75"/>
    <mergeCell ref="C76:D76"/>
    <mergeCell ref="C77:D77"/>
    <mergeCell ref="C78:D78"/>
    <mergeCell ref="C79:D79"/>
    <mergeCell ref="C80:D80"/>
    <mergeCell ref="C81:D81"/>
    <mergeCell ref="B82:E82"/>
    <mergeCell ref="B84:B85"/>
    <mergeCell ref="C84:E85"/>
    <mergeCell ref="C86:E86"/>
    <mergeCell ref="B87:E87"/>
    <mergeCell ref="C90:E91"/>
    <mergeCell ref="C92:E92"/>
    <mergeCell ref="C93:E93"/>
    <mergeCell ref="C94:E94"/>
    <mergeCell ref="C95:E95"/>
    <mergeCell ref="B96:E96"/>
    <mergeCell ref="B98:F98"/>
    <mergeCell ref="B99:B100"/>
    <mergeCell ref="C99:D100"/>
    <mergeCell ref="E99:E100"/>
    <mergeCell ref="C101:D101"/>
    <mergeCell ref="C102:D102"/>
    <mergeCell ref="C103:D103"/>
    <mergeCell ref="C104:D104"/>
    <mergeCell ref="C105:D105"/>
    <mergeCell ref="C106:D106"/>
    <mergeCell ref="B107:E107"/>
    <mergeCell ref="B109:B110"/>
    <mergeCell ref="C109:E110"/>
    <mergeCell ref="C111:E111"/>
    <mergeCell ref="C112:E112"/>
    <mergeCell ref="C113:E113"/>
    <mergeCell ref="C114:E114"/>
    <mergeCell ref="C115:E115"/>
    <mergeCell ref="C116:E116"/>
    <mergeCell ref="B117:E117"/>
    <mergeCell ref="B118:E118"/>
  </mergeCells>
  <printOptions headings="false" gridLines="false" gridLinesSet="true" horizontalCentered="true" verticalCentered="false"/>
  <pageMargins left="0.0798611111111111" right="0.05" top="0.196527777777778" bottom="0.157638888888889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18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selection pane="topLeft" activeCell="K26" activeCellId="0" sqref="K26"/>
    </sheetView>
  </sheetViews>
  <sheetFormatPr defaultRowHeight="16.5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8.86"/>
    <col collapsed="false" customWidth="true" hidden="false" outlineLevel="0" max="3" min="3" style="1" width="52.58"/>
    <col collapsed="false" customWidth="true" hidden="false" outlineLevel="0" max="4" min="4" style="1" width="7.87"/>
    <col collapsed="false" customWidth="true" hidden="false" outlineLevel="0" max="5" min="5" style="1" width="11.88"/>
    <col collapsed="false" customWidth="true" hidden="false" outlineLevel="0" max="8" min="6" style="1" width="15.31"/>
    <col collapsed="false" customWidth="true" hidden="false" outlineLevel="0" max="9" min="9" style="1" width="11.94"/>
    <col collapsed="false" customWidth="true" hidden="false" outlineLevel="0" max="1025" min="10" style="1" width="9.13"/>
  </cols>
  <sheetData>
    <row r="1" customFormat="false" ht="17.35" hidden="false" customHeight="false" outlineLevel="0" collapsed="false">
      <c r="B1" s="117" t="str">
        <f aca="false">RAMO</f>
        <v>RAMO: MINISTÉRIO PÚBLICO FEDERAL</v>
      </c>
      <c r="C1" s="117"/>
      <c r="D1" s="117"/>
      <c r="E1" s="117"/>
      <c r="F1" s="117"/>
      <c r="G1" s="117"/>
      <c r="H1" s="117"/>
    </row>
    <row r="2" customFormat="false" ht="17.35" hidden="false" customHeight="false" outlineLevel="0" collapsed="false">
      <c r="B2" s="118" t="str">
        <f aca="false">UG</f>
        <v>UNIDADE GESTORA (SIGLA): PRMS</v>
      </c>
      <c r="C2" s="118"/>
      <c r="D2" s="118"/>
      <c r="E2" s="119" t="s">
        <v>3</v>
      </c>
      <c r="F2" s="120" t="str">
        <f aca="false">DATA_DO_ORCAMENTO_ESTIMATIVO</f>
        <v>XX/XX/20XX</v>
      </c>
      <c r="G2" s="120"/>
      <c r="H2" s="120"/>
    </row>
    <row r="3" s="7" customFormat="true" ht="19.7" hidden="false" customHeight="false" outlineLevel="0" collapsed="false">
      <c r="B3" s="8" t="s">
        <v>239</v>
      </c>
      <c r="C3" s="8"/>
      <c r="D3" s="8"/>
      <c r="E3" s="8"/>
      <c r="F3" s="8"/>
      <c r="G3" s="8"/>
      <c r="H3" s="8"/>
    </row>
    <row r="4" customFormat="false" ht="15.95" hidden="false" customHeight="true" outlineLevel="0" collapsed="false">
      <c r="A4" s="7"/>
      <c r="B4" s="9" t="s">
        <v>6</v>
      </c>
      <c r="C4" s="9"/>
      <c r="D4" s="9"/>
      <c r="E4" s="9"/>
      <c r="F4" s="9"/>
      <c r="G4" s="9"/>
      <c r="H4" s="9"/>
    </row>
    <row r="5" customFormat="false" ht="15.95" hidden="false" customHeight="true" outlineLevel="0" collapsed="false">
      <c r="A5" s="7"/>
      <c r="B5" s="15" t="s">
        <v>199</v>
      </c>
      <c r="C5" s="15"/>
      <c r="D5" s="49" t="str">
        <f aca="false">NUMERO_PROCESSO</f>
        <v>1.21.000.000635/2019-40</v>
      </c>
      <c r="E5" s="49"/>
      <c r="F5" s="49"/>
      <c r="G5" s="49"/>
      <c r="H5" s="49"/>
    </row>
    <row r="6" customFormat="false" ht="15.75" hidden="false" customHeight="true" outlineLevel="0" collapsed="false">
      <c r="A6" s="7"/>
      <c r="B6" s="12" t="s">
        <v>200</v>
      </c>
      <c r="C6" s="12"/>
      <c r="D6" s="121" t="str">
        <f aca="false">MODALIDADE_DE_LICITACAO</f>
        <v>Pregão nº</v>
      </c>
      <c r="E6" s="121"/>
      <c r="F6" s="122" t="str">
        <f aca="false">NUMERO_PREGAO</f>
        <v>XX/20XX</v>
      </c>
      <c r="G6" s="122"/>
      <c r="H6" s="122"/>
    </row>
    <row r="7" s="6" customFormat="true" ht="15.75" hidden="false" customHeight="true" outlineLevel="0" collapsed="false">
      <c r="B7" s="123" t="s">
        <v>201</v>
      </c>
      <c r="C7" s="123"/>
      <c r="D7" s="123"/>
      <c r="E7" s="123"/>
      <c r="F7" s="123"/>
    </row>
    <row r="8" s="7" customFormat="true" ht="18" hidden="false" customHeight="true" outlineLevel="0" collapsed="false">
      <c r="B8" s="48" t="s">
        <v>15</v>
      </c>
      <c r="C8" s="15" t="s">
        <v>16</v>
      </c>
      <c r="D8" s="15"/>
      <c r="E8" s="15"/>
      <c r="F8" s="124" t="str">
        <f aca="false">DATA_APRESENTACAO_PROPOSTA</f>
        <v>XX/XX/20XX</v>
      </c>
      <c r="G8" s="124"/>
      <c r="H8" s="124"/>
    </row>
    <row r="9" customFormat="false" ht="46.4" hidden="false" customHeight="false" outlineLevel="0" collapsed="false">
      <c r="A9" s="7"/>
      <c r="B9" s="61" t="s">
        <v>17</v>
      </c>
      <c r="C9" s="23" t="s">
        <v>202</v>
      </c>
      <c r="D9" s="26" t="str">
        <f aca="false">IF(LOCAL_DE_EXECUCAO="","",LOCAL_DE_EXECUCAO)</f>
        <v>Procuradoria da República em Mato Grosso do Sul em Campo Grande e Procuradorias da República nos Municípios de Dourados, Três Lagoas, Corumbá e Naviraí</v>
      </c>
      <c r="E9" s="26"/>
      <c r="F9" s="26"/>
      <c r="G9" s="26"/>
      <c r="H9" s="26"/>
    </row>
    <row r="10" customFormat="false" ht="18.75" hidden="false" customHeight="true" outlineLevel="0" collapsed="false">
      <c r="A10" s="7"/>
      <c r="B10" s="48" t="s">
        <v>20</v>
      </c>
      <c r="C10" s="15" t="s">
        <v>24</v>
      </c>
      <c r="D10" s="15"/>
      <c r="E10" s="15"/>
      <c r="F10" s="125" t="str">
        <f aca="false">ACORDO_COLETIVO</f>
        <v>XX/20XX</v>
      </c>
      <c r="G10" s="125"/>
      <c r="H10" s="125"/>
    </row>
    <row r="11" customFormat="false" ht="15.95" hidden="false" customHeight="true" outlineLevel="0" collapsed="false">
      <c r="A11" s="7"/>
      <c r="B11" s="61" t="s">
        <v>23</v>
      </c>
      <c r="C11" s="108" t="s">
        <v>26</v>
      </c>
      <c r="D11" s="108"/>
      <c r="E11" s="108"/>
      <c r="F11" s="51" t="n">
        <f aca="false">NUMERO_MESES_EXEC_CONTRATUAL</f>
        <v>12</v>
      </c>
      <c r="G11" s="51"/>
      <c r="H11" s="51"/>
    </row>
    <row r="12" customFormat="false" ht="13.8" hidden="false" customHeight="false" outlineLevel="0" collapsed="false">
      <c r="A12" s="7"/>
      <c r="B12" s="61" t="s">
        <v>25</v>
      </c>
      <c r="C12" s="126" t="s">
        <v>203</v>
      </c>
      <c r="D12" s="126"/>
      <c r="E12" s="126"/>
      <c r="F12" s="49" t="n">
        <f aca="false">'INSERÇÃO-DE-DADOS'!F30+'INSERÇÃO-DE-DADOS'!F31+'INSERÇÃO-DE-DADOS'!F32</f>
        <v>3</v>
      </c>
      <c r="G12" s="49"/>
      <c r="H12" s="49"/>
    </row>
    <row r="13" s="127" customFormat="true" ht="21" hidden="false" customHeight="true" outlineLevel="0" collapsed="false">
      <c r="B13" s="128" t="s">
        <v>51</v>
      </c>
      <c r="C13" s="128"/>
      <c r="D13" s="128"/>
      <c r="E13" s="128"/>
      <c r="F13" s="128"/>
      <c r="G13" s="128"/>
      <c r="H13" s="128"/>
    </row>
    <row r="14" s="7" customFormat="true" ht="13.8" hidden="false" customHeight="false" outlineLevel="0" collapsed="false">
      <c r="B14" s="48" t="n">
        <v>1</v>
      </c>
      <c r="C14" s="15" t="s">
        <v>43</v>
      </c>
      <c r="D14" s="15"/>
      <c r="E14" s="129" t="str">
        <f aca="false">TIPO_DE_SERVICO</f>
        <v>Vigilância</v>
      </c>
      <c r="F14" s="129"/>
      <c r="G14" s="129"/>
      <c r="H14" s="129"/>
    </row>
    <row r="15" s="6" customFormat="true" ht="13.8" hidden="false" customHeight="false" outlineLevel="0" collapsed="false">
      <c r="B15" s="48" t="n">
        <v>2</v>
      </c>
      <c r="C15" s="130" t="s">
        <v>45</v>
      </c>
      <c r="D15" s="121" t="str">
        <f aca="false">CBO</f>
        <v>5173-30</v>
      </c>
      <c r="E15" s="121"/>
      <c r="F15" s="121"/>
      <c r="G15" s="121"/>
      <c r="H15" s="121"/>
    </row>
    <row r="16" s="7" customFormat="true" ht="15" hidden="false" customHeight="true" outlineLevel="0" collapsed="false">
      <c r="B16" s="48" t="n">
        <v>3</v>
      </c>
      <c r="C16" s="131" t="s">
        <v>47</v>
      </c>
      <c r="D16" s="129" t="str">
        <f aca="false">CATEGORIA_PROFISSIONAL</f>
        <v>Vigilante</v>
      </c>
      <c r="E16" s="129"/>
      <c r="F16" s="129"/>
      <c r="G16" s="129"/>
      <c r="H16" s="129"/>
    </row>
    <row r="17" customFormat="false" ht="15" hidden="false" customHeight="true" outlineLevel="0" collapsed="false">
      <c r="A17" s="7"/>
      <c r="B17" s="48" t="n">
        <v>4</v>
      </c>
      <c r="C17" s="12" t="s">
        <v>49</v>
      </c>
      <c r="D17" s="12"/>
      <c r="E17" s="12"/>
      <c r="F17" s="132" t="str">
        <f aca="false">DATA_BASE_CATEGORIA</f>
        <v>XX/XX/20XX</v>
      </c>
      <c r="G17" s="132"/>
      <c r="H17" s="132"/>
    </row>
    <row r="18" s="133" customFormat="true" ht="30" hidden="false" customHeight="true" outlineLevel="0" collapsed="false">
      <c r="B18" s="134" t="s">
        <v>240</v>
      </c>
      <c r="C18" s="134"/>
      <c r="D18" s="134"/>
      <c r="E18" s="134"/>
      <c r="F18" s="134"/>
      <c r="G18" s="134"/>
      <c r="H18" s="134"/>
    </row>
    <row r="19" customFormat="false" ht="22.35" hidden="false" customHeight="true" outlineLevel="0" collapsed="false">
      <c r="A19" s="133"/>
      <c r="B19" s="61" t="s">
        <v>205</v>
      </c>
      <c r="C19" s="61"/>
      <c r="D19" s="61"/>
      <c r="E19" s="61"/>
      <c r="F19" s="61"/>
      <c r="G19" s="61"/>
      <c r="H19" s="61"/>
    </row>
    <row r="20" customFormat="false" ht="31.3" hidden="false" customHeight="false" outlineLevel="0" collapsed="false">
      <c r="A20" s="133"/>
      <c r="B20" s="70" t="s">
        <v>206</v>
      </c>
      <c r="C20" s="70"/>
      <c r="D20" s="70"/>
      <c r="E20" s="70"/>
      <c r="F20" s="135" t="s">
        <v>207</v>
      </c>
      <c r="G20" s="136" t="s">
        <v>208</v>
      </c>
      <c r="H20" s="136" t="s">
        <v>209</v>
      </c>
    </row>
    <row r="21" customFormat="false" ht="13.8" hidden="false" customHeight="false" outlineLevel="0" collapsed="false">
      <c r="B21" s="137" t="s">
        <v>210</v>
      </c>
      <c r="C21" s="137"/>
      <c r="D21" s="137"/>
      <c r="E21" s="137"/>
      <c r="F21" s="138" t="n">
        <v>2</v>
      </c>
      <c r="G21" s="138" t="n">
        <v>2</v>
      </c>
      <c r="H21" s="138" t="n">
        <v>1</v>
      </c>
    </row>
    <row r="22" customFormat="false" ht="29.85" hidden="false" customHeight="true" outlineLevel="0" collapsed="false">
      <c r="B22" s="59" t="s">
        <v>52</v>
      </c>
      <c r="E22" s="60"/>
      <c r="F22" s="60"/>
    </row>
    <row r="23" customFormat="false" ht="29.85" hidden="false" customHeight="true" outlineLevel="0" collapsed="false">
      <c r="B23" s="61" t="n">
        <v>1</v>
      </c>
      <c r="C23" s="22" t="s">
        <v>53</v>
      </c>
      <c r="D23" s="22"/>
      <c r="E23" s="22"/>
      <c r="F23" s="135" t="s">
        <v>207</v>
      </c>
      <c r="G23" s="136" t="s">
        <v>208</v>
      </c>
      <c r="H23" s="136" t="s">
        <v>209</v>
      </c>
    </row>
    <row r="24" customFormat="false" ht="16.5" hidden="false" customHeight="true" outlineLevel="0" collapsed="false">
      <c r="B24" s="61"/>
      <c r="C24" s="22"/>
      <c r="D24" s="22"/>
      <c r="E24" s="22"/>
      <c r="F24" s="22" t="s">
        <v>111</v>
      </c>
      <c r="G24" s="22" t="s">
        <v>111</v>
      </c>
      <c r="H24" s="22" t="s">
        <v>111</v>
      </c>
    </row>
    <row r="25" customFormat="false" ht="16.5" hidden="false" customHeight="true" outlineLevel="0" collapsed="false">
      <c r="B25" s="61" t="s">
        <v>15</v>
      </c>
      <c r="C25" s="63" t="s">
        <v>211</v>
      </c>
      <c r="D25" s="63"/>
      <c r="E25" s="63"/>
      <c r="F25" s="104" t="n">
        <f aca="false">SALARIO_BASE</f>
        <v>1332.15</v>
      </c>
      <c r="G25" s="104" t="n">
        <f aca="false">'INSERÇÃO-DE-DADOS'!F44</f>
        <v>1332.15</v>
      </c>
      <c r="H25" s="104" t="n">
        <f aca="false">SALARIO_BASE</f>
        <v>1332.15</v>
      </c>
    </row>
    <row r="26" customFormat="false" ht="16.5" hidden="false" customHeight="true" outlineLevel="0" collapsed="false">
      <c r="B26" s="61" t="s">
        <v>17</v>
      </c>
      <c r="C26" s="26" t="s">
        <v>212</v>
      </c>
      <c r="D26" s="26"/>
      <c r="E26" s="26"/>
      <c r="F26" s="139" t="n">
        <f aca="false">PERC_ADIC_PERIC%*SALARIO_BASE</f>
        <v>399.645</v>
      </c>
      <c r="G26" s="139" t="n">
        <f aca="false">'INSERÇÃO-DE-DADOS'!F45%*SALARIO_BASE</f>
        <v>399.645</v>
      </c>
      <c r="H26" s="139" t="n">
        <f aca="false">PERC_ADIC_PERIC%*SALARIO_BASE</f>
        <v>399.645</v>
      </c>
    </row>
    <row r="27" customFormat="false" ht="15.75" hidden="false" customHeight="true" outlineLevel="0" collapsed="false">
      <c r="B27" s="61" t="s">
        <v>20</v>
      </c>
      <c r="C27" s="10" t="s">
        <v>213</v>
      </c>
      <c r="D27" s="10"/>
      <c r="E27" s="10"/>
      <c r="F27" s="104" t="n">
        <f aca="false">((AL_1_A_SAL_BASE_12X36_NOT+AL_1_B_ADIC_PERIC_12X36_NOT)/DIVISOR_DE_HORAS)*DIAS_NA_SEMANA*MEDIA_ANUAL_DIAS_TRABALHO_MES*PERC_ADIC_NOT%</f>
        <v>167.511807272727</v>
      </c>
      <c r="G27" s="104"/>
      <c r="H27" s="104"/>
    </row>
    <row r="28" customFormat="false" ht="15.75" hidden="false" customHeight="true" outlineLevel="0" collapsed="false">
      <c r="B28" s="61" t="s">
        <v>23</v>
      </c>
      <c r="C28" s="26" t="s">
        <v>236</v>
      </c>
      <c r="D28" s="26"/>
      <c r="E28" s="26"/>
      <c r="F28" s="139" t="n">
        <f aca="false">(F25+F26)*PERC_HORA_NOTURNA_REDUZIDA%*(1+PERC_ADIC_NOT%)</f>
        <v>173.1102282</v>
      </c>
      <c r="G28" s="139"/>
      <c r="H28" s="139"/>
    </row>
    <row r="29" customFormat="false" ht="46.4" hidden="false" customHeight="false" outlineLevel="0" collapsed="false">
      <c r="B29" s="61" t="s">
        <v>25</v>
      </c>
      <c r="C29" s="63" t="str">
        <f aca="false">OUTROS_REMUNERACAO_1_DESCRICAO</f>
        <v>Adicional Remuneração em dobro (Natal, Ano Novo e Dia do Vigilante) – Cláusula 32ª da CCT MS000170/2018 (caso o licitante use uma CCT sem o benefício, exclua-se o item ) (em % no campo de inserção)</v>
      </c>
      <c r="D29" s="63"/>
      <c r="E29" s="63"/>
      <c r="F29" s="104" t="n">
        <f aca="false">((F25+F26+F27+F28)/DIVISOR_DE_HORAS)*(HORAS_EM_DOBRO/MESES_NO_ANO)*OUTROS_REMUNERACAO_1%</f>
        <v>14.1301161509504</v>
      </c>
      <c r="G29" s="104" t="n">
        <f aca="false">((G25+G26+G27+G28)/DIVISOR_DE_HORAS)*(HORAS_EM_DOBRO/MESES_NO_ANO)*OUTROS_REMUNERACAO_1%</f>
        <v>11.8076931818182</v>
      </c>
      <c r="H29" s="104"/>
    </row>
    <row r="30" customFormat="false" ht="16.4" hidden="false" customHeight="false" outlineLevel="0" collapsed="false">
      <c r="B30" s="61" t="s">
        <v>60</v>
      </c>
      <c r="C30" s="142" t="str">
        <f aca="false">OUTROS_REMUNERACAO_2_DESCRICAO</f>
        <v>Outras Remunerações 1 (Especificar)</v>
      </c>
      <c r="D30" s="142"/>
      <c r="E30" s="142"/>
      <c r="F30" s="139" t="n">
        <f aca="false">OUTROS_REMUNERACAO_2</f>
        <v>0</v>
      </c>
      <c r="G30" s="139"/>
      <c r="H30" s="139"/>
    </row>
    <row r="31" customFormat="false" ht="16.4" hidden="false" customHeight="false" outlineLevel="0" collapsed="false">
      <c r="B31" s="61" t="s">
        <v>72</v>
      </c>
      <c r="C31" s="63" t="str">
        <f aca="false">OUTROS_REMUNERACAO_3_DESCRICAO</f>
        <v>Outras Remunerações 2 (Especificar)</v>
      </c>
      <c r="D31" s="63"/>
      <c r="E31" s="63"/>
      <c r="F31" s="104" t="n">
        <f aca="false">OUTROS_REMUNERACAO_3</f>
        <v>0</v>
      </c>
      <c r="G31" s="104"/>
      <c r="H31" s="104"/>
    </row>
    <row r="32" customFormat="false" ht="16.5" hidden="false" customHeight="true" outlineLevel="0" collapsed="false">
      <c r="B32" s="62" t="s">
        <v>76</v>
      </c>
      <c r="C32" s="62"/>
      <c r="D32" s="62"/>
      <c r="E32" s="62"/>
      <c r="F32" s="144" t="n">
        <f aca="false">SUM(F25:F31)</f>
        <v>2086.54715162368</v>
      </c>
      <c r="G32" s="144" t="n">
        <f aca="false">SUM(G25:G31)</f>
        <v>1743.60269318182</v>
      </c>
      <c r="H32" s="144" t="n">
        <f aca="false">SUM(H25:H31)</f>
        <v>1731.795</v>
      </c>
    </row>
    <row r="33" customFormat="false" ht="16.5" hidden="false" customHeight="false" outlineLevel="0" collapsed="false">
      <c r="B33" s="59" t="s">
        <v>166</v>
      </c>
      <c r="E33" s="110"/>
      <c r="F33" s="110"/>
    </row>
    <row r="34" customFormat="false" ht="16.5" hidden="false" customHeight="false" outlineLevel="0" collapsed="false">
      <c r="B34" s="59" t="s">
        <v>167</v>
      </c>
      <c r="C34" s="76"/>
      <c r="D34" s="77"/>
      <c r="E34" s="78"/>
      <c r="F34" s="78"/>
    </row>
    <row r="35" customFormat="false" ht="31.3" hidden="false" customHeight="true" outlineLevel="0" collapsed="false">
      <c r="B35" s="61" t="s">
        <v>168</v>
      </c>
      <c r="C35" s="70" t="s">
        <v>169</v>
      </c>
      <c r="D35" s="70"/>
      <c r="E35" s="22" t="s">
        <v>65</v>
      </c>
      <c r="F35" s="135" t="s">
        <v>207</v>
      </c>
      <c r="G35" s="136" t="s">
        <v>208</v>
      </c>
      <c r="H35" s="136" t="s">
        <v>209</v>
      </c>
    </row>
    <row r="36" customFormat="false" ht="16.4" hidden="false" customHeight="false" outlineLevel="0" collapsed="false">
      <c r="B36" s="61"/>
      <c r="C36" s="70"/>
      <c r="D36" s="70"/>
      <c r="E36" s="22"/>
      <c r="F36" s="22" t="s">
        <v>111</v>
      </c>
      <c r="G36" s="22" t="s">
        <v>111</v>
      </c>
      <c r="H36" s="22" t="s">
        <v>111</v>
      </c>
    </row>
    <row r="37" customFormat="false" ht="16.5" hidden="false" customHeight="true" outlineLevel="0" collapsed="false">
      <c r="B37" s="61" t="s">
        <v>15</v>
      </c>
      <c r="C37" s="69" t="s">
        <v>171</v>
      </c>
      <c r="D37" s="69"/>
      <c r="E37" s="111" t="n">
        <f aca="false">PERC_DEC_TERC</f>
        <v>8.33333333333333</v>
      </c>
      <c r="F37" s="107" t="n">
        <f aca="false">PERC_DEC_TERC%*MOD_1_REMUNERACAO_12X36_NOT</f>
        <v>173.878929301973</v>
      </c>
      <c r="G37" s="107" t="n">
        <f aca="false">PERC_DEC_TERC%*G32</f>
        <v>145.300224431818</v>
      </c>
      <c r="H37" s="107" t="n">
        <f aca="false">PERC_DEC_TERC%*H32</f>
        <v>144.31625</v>
      </c>
    </row>
    <row r="38" s="103" customFormat="true" ht="16.5" hidden="false" customHeight="true" outlineLevel="0" collapsed="false">
      <c r="B38" s="22" t="s">
        <v>17</v>
      </c>
      <c r="C38" s="26" t="s">
        <v>173</v>
      </c>
      <c r="D38" s="26"/>
      <c r="E38" s="112" t="n">
        <f aca="false">PERC_ADIC_FERIAS</f>
        <v>2.77777777777778</v>
      </c>
      <c r="F38" s="109" t="n">
        <f aca="false">PERC_ADIC_FERIAS%*MOD_1_REMUNERACAO_12X36_NOT</f>
        <v>57.9596431006577</v>
      </c>
      <c r="G38" s="109" t="n">
        <f aca="false">PERC_ADIC_FERIAS%*G32</f>
        <v>48.4334081439394</v>
      </c>
      <c r="H38" s="109" t="n">
        <f aca="false">PERC_ADIC_FERIAS%*H32</f>
        <v>48.1054166666667</v>
      </c>
    </row>
    <row r="39" s="66" customFormat="true" ht="13.8" hidden="false" customHeight="false" outlineLevel="0" collapsed="false">
      <c r="B39" s="70" t="s">
        <v>76</v>
      </c>
      <c r="C39" s="70"/>
      <c r="D39" s="70"/>
      <c r="E39" s="70"/>
      <c r="F39" s="145" t="n">
        <f aca="false">SUM(F37:F38)</f>
        <v>231.838572402631</v>
      </c>
      <c r="G39" s="145" t="n">
        <f aca="false">SUM(G37:G38)</f>
        <v>193.733632575758</v>
      </c>
      <c r="H39" s="145" t="n">
        <f aca="false">SUM(H37:H38)</f>
        <v>192.421666666667</v>
      </c>
    </row>
    <row r="40" customFormat="false" ht="31.5" hidden="false" customHeight="true" outlineLevel="0" collapsed="false">
      <c r="A40" s="66"/>
      <c r="B40" s="146" t="s">
        <v>62</v>
      </c>
      <c r="C40" s="146"/>
      <c r="D40" s="146"/>
      <c r="E40" s="146"/>
      <c r="F40" s="146"/>
    </row>
    <row r="41" customFormat="false" ht="31.5" hidden="false" customHeight="true" outlineLevel="0" collapsed="false">
      <c r="A41" s="66"/>
      <c r="B41" s="61" t="s">
        <v>63</v>
      </c>
      <c r="C41" s="68" t="s">
        <v>64</v>
      </c>
      <c r="D41" s="68"/>
      <c r="E41" s="22" t="s">
        <v>65</v>
      </c>
      <c r="F41" s="135" t="s">
        <v>207</v>
      </c>
      <c r="G41" s="136" t="s">
        <v>208</v>
      </c>
      <c r="H41" s="136" t="s">
        <v>209</v>
      </c>
    </row>
    <row r="42" customFormat="false" ht="34.5" hidden="false" customHeight="true" outlineLevel="0" collapsed="false">
      <c r="A42" s="66"/>
      <c r="B42" s="61"/>
      <c r="C42" s="68"/>
      <c r="D42" s="68"/>
      <c r="E42" s="22"/>
      <c r="F42" s="22" t="s">
        <v>111</v>
      </c>
      <c r="G42" s="22" t="s">
        <v>111</v>
      </c>
      <c r="H42" s="22" t="s">
        <v>111</v>
      </c>
    </row>
    <row r="43" customFormat="false" ht="16.5" hidden="false" customHeight="true" outlineLevel="0" collapsed="false">
      <c r="B43" s="61" t="s">
        <v>15</v>
      </c>
      <c r="C43" s="69" t="s">
        <v>66</v>
      </c>
      <c r="D43" s="69"/>
      <c r="E43" s="111" t="n">
        <f aca="false">PERC_INSS</f>
        <v>20</v>
      </c>
      <c r="F43" s="107" t="n">
        <f aca="false">PERC_INSS%*(MOD_1_REMUNERACAO_12X36_NOT+SUBMOD_2_1_DEC_TERC_ADIC_FERIAS_12X36_NOT)</f>
        <v>463.677144805262</v>
      </c>
      <c r="G43" s="107" t="n">
        <f aca="false">PERC_INSS%*(G32+G39)</f>
        <v>387.467265151515</v>
      </c>
      <c r="H43" s="107" t="n">
        <f aca="false">PERC_INSS%*(H32+H39)</f>
        <v>384.843333333333</v>
      </c>
    </row>
    <row r="44" s="7" customFormat="true" ht="16.5" hidden="false" customHeight="true" outlineLevel="0" collapsed="false">
      <c r="B44" s="22" t="s">
        <v>17</v>
      </c>
      <c r="C44" s="26" t="s">
        <v>67</v>
      </c>
      <c r="D44" s="26"/>
      <c r="E44" s="113" t="n">
        <f aca="false">PERC_SAL_EDUCACAO</f>
        <v>2.5</v>
      </c>
      <c r="F44" s="109" t="n">
        <f aca="false">PERC_SAL_EDUCACAO%*(MOD_1_REMUNERACAO_12X36_NOT+SUBMOD_2_1_DEC_TERC_ADIC_FERIAS_12X36_NOT)</f>
        <v>57.9596431006577</v>
      </c>
      <c r="G44" s="109" t="n">
        <f aca="false">PERC_SAL_EDUCACAO%*(G32+G39)</f>
        <v>48.4334081439394</v>
      </c>
      <c r="H44" s="109" t="n">
        <f aca="false">PERC_SAL_EDUCACAO%*(H32+H39)</f>
        <v>48.1054166666667</v>
      </c>
    </row>
    <row r="45" customFormat="false" ht="16.5" hidden="false" customHeight="true" outlineLevel="0" collapsed="false">
      <c r="A45" s="7"/>
      <c r="B45" s="22" t="s">
        <v>20</v>
      </c>
      <c r="C45" s="69" t="s">
        <v>175</v>
      </c>
      <c r="D45" s="69"/>
      <c r="E45" s="111" t="n">
        <f aca="false">PERC_RAT</f>
        <v>3</v>
      </c>
      <c r="F45" s="107" t="n">
        <f aca="false">PERC_RAT%*(MOD_1_REMUNERACAO_12X36_NOT+SUBMOD_2_1_DEC_TERC_ADIC_FERIAS_12X36_NOT)</f>
        <v>69.5515717207892</v>
      </c>
      <c r="G45" s="107" t="n">
        <f aca="false">PERC_RAT%*(G32+G39)</f>
        <v>58.1200897727273</v>
      </c>
      <c r="H45" s="107" t="n">
        <f aca="false">PERC_RAT%*(H32+H39)</f>
        <v>57.7265</v>
      </c>
    </row>
    <row r="46" customFormat="false" ht="16.5" hidden="false" customHeight="true" outlineLevel="0" collapsed="false">
      <c r="A46" s="7"/>
      <c r="B46" s="22" t="s">
        <v>23</v>
      </c>
      <c r="C46" s="26" t="s">
        <v>69</v>
      </c>
      <c r="D46" s="26"/>
      <c r="E46" s="112" t="n">
        <f aca="false">PERC_SESC</f>
        <v>1.5</v>
      </c>
      <c r="F46" s="109" t="n">
        <f aca="false">PERC_SESC%*(MOD_1_REMUNERACAO_12X36_NOT+SUBMOD_2_1_DEC_TERC_ADIC_FERIAS_12X36_NOT)</f>
        <v>34.7757858603946</v>
      </c>
      <c r="G46" s="109" t="n">
        <f aca="false">PERC_SESC%*(G32+G39)</f>
        <v>29.0600448863636</v>
      </c>
      <c r="H46" s="109" t="n">
        <f aca="false">PERC_SESC%*(H32+H39)</f>
        <v>28.86325</v>
      </c>
    </row>
    <row r="47" customFormat="false" ht="16.5" hidden="false" customHeight="true" outlineLevel="0" collapsed="false">
      <c r="A47" s="7"/>
      <c r="B47" s="22" t="s">
        <v>25</v>
      </c>
      <c r="C47" s="69" t="s">
        <v>70</v>
      </c>
      <c r="D47" s="69"/>
      <c r="E47" s="111" t="n">
        <f aca="false">PERC_SENAC</f>
        <v>1</v>
      </c>
      <c r="F47" s="107" t="n">
        <f aca="false">PERC_SENAC%*(MOD_1_REMUNERACAO_12X36_NOT+SUBMOD_2_1_DEC_TERC_ADIC_FERIAS_12X36_NOT)</f>
        <v>23.1838572402631</v>
      </c>
      <c r="G47" s="107" t="n">
        <f aca="false">PERC_SENAC%*(G32+G39)</f>
        <v>19.3733632575758</v>
      </c>
      <c r="H47" s="107" t="n">
        <f aca="false">PERC_SENAC%*(H32+H39)</f>
        <v>19.2421666666667</v>
      </c>
    </row>
    <row r="48" s="6" customFormat="true" ht="16.5" hidden="false" customHeight="true" outlineLevel="0" collapsed="false">
      <c r="B48" s="22" t="s">
        <v>60</v>
      </c>
      <c r="C48" s="26" t="s">
        <v>71</v>
      </c>
      <c r="D48" s="26"/>
      <c r="E48" s="113" t="n">
        <f aca="false">PERC_SEBRAE</f>
        <v>0.6</v>
      </c>
      <c r="F48" s="109" t="n">
        <f aca="false">PERC_SEBRAE%*(MOD_1_REMUNERACAO_12X36_NOT+SUBMOD_2_1_DEC_TERC_ADIC_FERIAS_12X36_NOT)</f>
        <v>13.9103143441579</v>
      </c>
      <c r="G48" s="109" t="n">
        <f aca="false">PERC_SEBRAE%*(G32+G39)</f>
        <v>11.6240179545455</v>
      </c>
      <c r="H48" s="109" t="n">
        <f aca="false">PERC_SEBRAE%*(H32+H39)</f>
        <v>11.5453</v>
      </c>
    </row>
    <row r="49" customFormat="false" ht="16.5" hidden="false" customHeight="true" outlineLevel="0" collapsed="false">
      <c r="A49" s="6"/>
      <c r="B49" s="22" t="s">
        <v>72</v>
      </c>
      <c r="C49" s="69" t="s">
        <v>73</v>
      </c>
      <c r="D49" s="69"/>
      <c r="E49" s="111" t="n">
        <f aca="false">PERC_INCRA</f>
        <v>0.2</v>
      </c>
      <c r="F49" s="107" t="n">
        <f aca="false">PERC_INCRA%*(MOD_1_REMUNERACAO_12X36_NOT+SUBMOD_2_1_DEC_TERC_ADIC_FERIAS_12X36_NOT)</f>
        <v>4.63677144805262</v>
      </c>
      <c r="G49" s="107" t="n">
        <f aca="false">PERC_INCRA%*(G32+G39)</f>
        <v>3.87467265151515</v>
      </c>
      <c r="H49" s="107" t="n">
        <f aca="false">PERC_INCRA%*(H32+H39)</f>
        <v>3.84843333333333</v>
      </c>
    </row>
    <row r="50" customFormat="false" ht="16.5" hidden="false" customHeight="true" outlineLevel="0" collapsed="false">
      <c r="B50" s="22" t="s">
        <v>74</v>
      </c>
      <c r="C50" s="26" t="s">
        <v>75</v>
      </c>
      <c r="D50" s="26"/>
      <c r="E50" s="113" t="n">
        <f aca="false">PERC_FGTS</f>
        <v>8</v>
      </c>
      <c r="F50" s="109" t="n">
        <f aca="false">PERC_FGTS%*(MOD_1_REMUNERACAO_12X36_NOT+SUBMOD_2_1_DEC_TERC_ADIC_FERIAS_12X36_NOT)</f>
        <v>185.470857922105</v>
      </c>
      <c r="G50" s="109" t="n">
        <f aca="false">PERC_FGTS%*(G32+G39)</f>
        <v>154.986906060606</v>
      </c>
      <c r="H50" s="109" t="n">
        <f aca="false">PERC_FGTS%*(H32+H39)</f>
        <v>153.937333333333</v>
      </c>
    </row>
    <row r="51" customFormat="false" ht="13.8" hidden="false" customHeight="false" outlineLevel="0" collapsed="false">
      <c r="B51" s="70" t="s">
        <v>76</v>
      </c>
      <c r="C51" s="70"/>
      <c r="D51" s="70"/>
      <c r="E51" s="70"/>
      <c r="F51" s="147" t="n">
        <f aca="false">SUM(F43:F50)</f>
        <v>853.165946441681</v>
      </c>
      <c r="G51" s="147" t="n">
        <f aca="false">SUM(G43:G50)</f>
        <v>712.939767878788</v>
      </c>
      <c r="H51" s="147" t="n">
        <f aca="false">SUM(H43:H50)</f>
        <v>708.111733333333</v>
      </c>
    </row>
    <row r="52" customFormat="false" ht="15.75" hidden="false" customHeight="true" outlineLevel="0" collapsed="false">
      <c r="B52" s="59" t="s">
        <v>77</v>
      </c>
      <c r="C52" s="6"/>
      <c r="D52" s="6"/>
      <c r="E52" s="6"/>
      <c r="F52" s="6"/>
    </row>
    <row r="53" customFormat="false" ht="31.3" hidden="false" customHeight="true" outlineLevel="0" collapsed="false">
      <c r="B53" s="61" t="s">
        <v>78</v>
      </c>
      <c r="C53" s="62" t="s">
        <v>79</v>
      </c>
      <c r="D53" s="62"/>
      <c r="E53" s="62"/>
      <c r="F53" s="135" t="s">
        <v>207</v>
      </c>
      <c r="G53" s="136" t="s">
        <v>208</v>
      </c>
      <c r="H53" s="136" t="s">
        <v>209</v>
      </c>
    </row>
    <row r="54" customFormat="false" ht="15.75" hidden="false" customHeight="true" outlineLevel="0" collapsed="false">
      <c r="B54" s="61"/>
      <c r="C54" s="62"/>
      <c r="D54" s="62"/>
      <c r="E54" s="62"/>
      <c r="F54" s="22" t="s">
        <v>111</v>
      </c>
      <c r="G54" s="22" t="s">
        <v>111</v>
      </c>
      <c r="H54" s="22" t="s">
        <v>111</v>
      </c>
    </row>
    <row r="55" customFormat="false" ht="16.5" hidden="false" customHeight="true" outlineLevel="0" collapsed="false">
      <c r="B55" s="48" t="s">
        <v>15</v>
      </c>
      <c r="C55" s="69" t="s">
        <v>82</v>
      </c>
      <c r="D55" s="69"/>
      <c r="E55" s="69"/>
      <c r="F55" s="107" t="n">
        <f aca="false">IF(((TARIFA_NAVIRAI*DIAS_TRABALHADOS_NO_MES_12X36)-(PERC_DESC_TRANSP_REMUNERACAO%*(AL_1_A_SAL_BASE_12X36_NOT/2)))&gt;0,((TARIFA_NAVIRAI*DIAS_TRABALHADOS_NO_MES_12X36)-(PERC_DESC_TRANSP_REMUNERACAO%*(AL_1_A_SAL_BASE_12X36_NOT/2))),0)</f>
        <v>0</v>
      </c>
      <c r="G55" s="107" t="n">
        <f aca="false">IF(((TARIFA_NAVIRAI*DIAS_TRABALHADOS_NO_MES_12X36)-(PERC_DESC_TRANSP_REMUNERACAO%*(G25/2)))&gt;0,((TARIFA_NAVIRAI*DIAS_TRABALHADOS_NO_MES_12X36)-(PERC_DESC_TRANSP_REMUNERACAO%*(G25/2))),0)</f>
        <v>0</v>
      </c>
      <c r="H55" s="107" t="n">
        <f aca="false">IF(((TARIFA_NAVIRAI*DIAS_UTEIS_TRABALHADOS_NO_MES_44HORAS)-(PERC_DESC_TRANSP_REMUNERACAO%*(SALARIO_BASE)))&gt;0,((TARIFA_NAVIRAI*DIAS_UTEIS_TRABALHADOS_NO_MES_44HORAS)-(PERC_DESC_TRANSP_REMUNERACAO%*(SALARIO_BASE))),0)</f>
        <v>0</v>
      </c>
    </row>
    <row r="56" s="66" customFormat="true" ht="16.5" hidden="false" customHeight="true" outlineLevel="0" collapsed="false">
      <c r="B56" s="48" t="s">
        <v>17</v>
      </c>
      <c r="C56" s="26" t="s">
        <v>93</v>
      </c>
      <c r="D56" s="26"/>
      <c r="E56" s="26"/>
      <c r="F56" s="109" t="n">
        <f aca="false">(ALIMENTACAO_POR_DIA*DIAS_TRABALHADOS_NO_MES_12X36)-(SALARIO_BASE*PERC_DESC_ALIMENTACAO%)</f>
        <v>348.9285</v>
      </c>
      <c r="G56" s="109" t="n">
        <f aca="false">(ALIMENTACAO_POR_DIA*DIAS_TRABALHADOS_NO_MES_12X36)-(SALARIO_BASE*PERC_DESC_ALIMENTACAO%)</f>
        <v>348.9285</v>
      </c>
      <c r="H56" s="109" t="n">
        <f aca="false">(ALIMENTACAO_POR_DIA*DIAS_UTEIS_TRABALHADOS_NO_MES_44HORAS)-(SALARIO_BASE*PERC_DESC_ALIMENTACAO%)</f>
        <v>517.9785</v>
      </c>
    </row>
    <row r="57" s="66" customFormat="true" ht="16.4" hidden="false" customHeight="false" outlineLevel="0" collapsed="false">
      <c r="B57" s="48" t="s">
        <v>20</v>
      </c>
      <c r="C57" s="63" t="str">
        <f aca="false">OUTROS_BENEFICIOS_1_DESCRICAO</f>
        <v>Seguro de vida em grupo</v>
      </c>
      <c r="D57" s="63"/>
      <c r="E57" s="63"/>
      <c r="F57" s="107" t="n">
        <f aca="false">OUTROS_BENEFICIOS_1</f>
        <v>11.83</v>
      </c>
      <c r="G57" s="107" t="n">
        <f aca="false">OUTROS_BENEFICIOS_1</f>
        <v>11.83</v>
      </c>
      <c r="H57" s="107" t="n">
        <f aca="false">OUTROS_BENEFICIOS_1</f>
        <v>11.83</v>
      </c>
    </row>
    <row r="58" customFormat="false" ht="16.4" hidden="false" customHeight="false" outlineLevel="0" collapsed="false">
      <c r="A58" s="66"/>
      <c r="B58" s="48" t="s">
        <v>23</v>
      </c>
      <c r="C58" s="142" t="str">
        <f aca="false">OUTROS_BENEFICIOS_2_DESCRICAO</f>
        <v>Programa Familiar Assistencial e de Saúde</v>
      </c>
      <c r="D58" s="142"/>
      <c r="E58" s="142"/>
      <c r="F58" s="109" t="n">
        <f aca="false">OUTROS_BENEFICIOS_2</f>
        <v>49.79</v>
      </c>
      <c r="G58" s="109" t="n">
        <f aca="false">OUTROS_BENEFICIOS_2</f>
        <v>49.79</v>
      </c>
      <c r="H58" s="109" t="n">
        <f aca="false">OUTROS_BENEFICIOS_2</f>
        <v>49.79</v>
      </c>
    </row>
    <row r="59" customFormat="false" ht="16.4" hidden="false" customHeight="false" outlineLevel="0" collapsed="false">
      <c r="A59" s="66"/>
      <c r="B59" s="48" t="s">
        <v>25</v>
      </c>
      <c r="C59" s="63" t="str">
        <f aca="false">OUTROS_BENEFICIOS_3_DESCRICAO</f>
        <v>Outros Benefícios 1 (Especificar)</v>
      </c>
      <c r="D59" s="63"/>
      <c r="E59" s="63"/>
      <c r="F59" s="107" t="n">
        <f aca="false">OUTROS_BENEFICIOS_3</f>
        <v>0</v>
      </c>
      <c r="G59" s="107" t="n">
        <f aca="false">OUTROS_BENEFICIOS_3</f>
        <v>0</v>
      </c>
      <c r="H59" s="107" t="n">
        <f aca="false">OUTROS_BENEFICIOS_3</f>
        <v>0</v>
      </c>
    </row>
    <row r="60" customFormat="false" ht="15" hidden="false" customHeight="true" outlineLevel="0" collapsed="false">
      <c r="A60" s="66"/>
      <c r="B60" s="62" t="s">
        <v>76</v>
      </c>
      <c r="C60" s="62"/>
      <c r="D60" s="62"/>
      <c r="E60" s="62"/>
      <c r="F60" s="144" t="n">
        <f aca="false">SUM(F55:F59)</f>
        <v>410.5485</v>
      </c>
      <c r="G60" s="144" t="n">
        <f aca="false">SUM(G55:G59)</f>
        <v>410.5485</v>
      </c>
      <c r="H60" s="144" t="n">
        <f aca="false">SUM(H55:H59)</f>
        <v>579.5985</v>
      </c>
    </row>
    <row r="61" customFormat="false" ht="16.5" hidden="false" customHeight="false" outlineLevel="0" collapsed="false">
      <c r="A61" s="66"/>
      <c r="B61" s="59" t="s">
        <v>146</v>
      </c>
      <c r="C61" s="76"/>
      <c r="D61" s="77"/>
      <c r="E61" s="78"/>
      <c r="F61" s="78"/>
    </row>
    <row r="62" customFormat="false" ht="31.3" hidden="false" customHeight="true" outlineLevel="0" collapsed="false">
      <c r="A62" s="66"/>
      <c r="B62" s="61" t="n">
        <v>3</v>
      </c>
      <c r="C62" s="70" t="s">
        <v>147</v>
      </c>
      <c r="D62" s="70"/>
      <c r="E62" s="22" t="s">
        <v>65</v>
      </c>
      <c r="F62" s="135" t="s">
        <v>207</v>
      </c>
      <c r="G62" s="136" t="s">
        <v>208</v>
      </c>
      <c r="H62" s="136" t="s">
        <v>209</v>
      </c>
    </row>
    <row r="63" customFormat="false" ht="15" hidden="false" customHeight="true" outlineLevel="0" collapsed="false">
      <c r="A63" s="66"/>
      <c r="B63" s="61"/>
      <c r="C63" s="70"/>
      <c r="D63" s="70"/>
      <c r="E63" s="22"/>
      <c r="F63" s="22" t="s">
        <v>111</v>
      </c>
      <c r="G63" s="22" t="s">
        <v>111</v>
      </c>
      <c r="H63" s="22" t="s">
        <v>111</v>
      </c>
    </row>
    <row r="64" customFormat="false" ht="16.4" hidden="false" customHeight="false" outlineLevel="0" collapsed="false">
      <c r="A64" s="66"/>
      <c r="B64" s="61" t="s">
        <v>15</v>
      </c>
      <c r="C64" s="114" t="s">
        <v>176</v>
      </c>
      <c r="D64" s="114"/>
      <c r="E64" s="111" t="n">
        <f aca="false">PERC_AVISO_PREVIO_IND</f>
        <v>0.29105125</v>
      </c>
      <c r="F64" s="107" t="n">
        <f aca="false">PERC_AVISO_PREVIO_IND%*(MOD_1_REMUNERACAO_12X36_NOT+SUBMOD_2_1_DEC_TERC_ADIC_FERIAS_12X36_NOT+AL_2_2_FGTS_12X36_NOT+SUBMOD_2_3_BENEFICIOS_12X36_NOT)</f>
        <v>8.48241242107438</v>
      </c>
      <c r="G64" s="107" t="n">
        <f aca="false">PERC_AVISO_PREVIO_IND%*(G32+G39+G50+G60)</f>
        <v>7.28463946135347</v>
      </c>
      <c r="H64" s="107" t="n">
        <f aca="false">PERC_AVISO_PREVIO_IND%*(H32+H39+H50+H60)</f>
        <v>7.73542187315625</v>
      </c>
    </row>
    <row r="65" customFormat="false" ht="16.4" hidden="false" customHeight="false" outlineLevel="0" collapsed="false">
      <c r="A65" s="66"/>
      <c r="B65" s="22" t="s">
        <v>17</v>
      </c>
      <c r="C65" s="115" t="s">
        <v>178</v>
      </c>
      <c r="D65" s="115"/>
      <c r="E65" s="113" t="n">
        <f aca="false">PERC_FGTS_AVISO_PREV_IND</f>
        <v>0.0232841</v>
      </c>
      <c r="F65" s="109" t="n">
        <f aca="false">PERC_FGTS_AVISO_PREV_IND%*(MOD_1_REMUNERACAO_12X36_NOT+SUBMOD_2_1_DEC_TERC_ADIC_FERIAS_12X36_NOT)</f>
        <v>0.53981525036801</v>
      </c>
      <c r="G65" s="109" t="n">
        <f aca="false">PERC_FGTS_AVISO_PREV_IND%*(G32+G39)</f>
        <v>0.45109132742572</v>
      </c>
      <c r="H65" s="109" t="n">
        <f aca="false">PERC_FGTS_AVISO_PREV_IND%*(H32+H39)</f>
        <v>0.448036532883333</v>
      </c>
    </row>
    <row r="66" s="7" customFormat="true" ht="34.5" hidden="false" customHeight="true" outlineLevel="0" collapsed="false">
      <c r="B66" s="22" t="s">
        <v>20</v>
      </c>
      <c r="C66" s="114" t="s">
        <v>215</v>
      </c>
      <c r="D66" s="114"/>
      <c r="E66" s="111" t="n">
        <f aca="false">PERC_MULTA_FGTS_AV_PREV_IND</f>
        <v>0.00931364</v>
      </c>
      <c r="F66" s="107" t="n">
        <f aca="false">PERC_MULTA_FGTS_AV_PREV_IND%*(MOD_1_REMUNERACAO_12X36_NOT+SUBMOD_2_1_DEC_TERC_ADIC_FERIAS_12X36_NOT)</f>
        <v>0.215926100147204</v>
      </c>
      <c r="G66" s="107" t="n">
        <f aca="false">PERC_MULTA_FGTS_AV_PREV_IND%*(G32+G39)</f>
        <v>0.180436530970288</v>
      </c>
      <c r="H66" s="107" t="n">
        <f aca="false">PERC_MULTA_FGTS_AV_PREV_IND%*(H32+H39)</f>
        <v>0.179214613153333</v>
      </c>
    </row>
    <row r="67" s="66" customFormat="true" ht="16.4" hidden="false" customHeight="false" outlineLevel="0" collapsed="false">
      <c r="B67" s="22" t="s">
        <v>23</v>
      </c>
      <c r="C67" s="115" t="s">
        <v>182</v>
      </c>
      <c r="D67" s="115"/>
      <c r="E67" s="113" t="n">
        <f aca="false">PERC_AVISO_PREVIO_TRAB</f>
        <v>1.15572693055556</v>
      </c>
      <c r="F67" s="109" t="n">
        <f aca="false">PERC_AVISO_PREVIO_TRAB%*(MOD_1_REMUNERACAO_12X36_NOT+SUBMOD_2_1_DEC_TERC_ADIC_FERIAS_12X36_NOT+SUBMOD_2_2_GPS_FGTS_12X36_NOT+SUBMOD_2_3_BENEFICIOS_12X36_NOT)</f>
        <v>41.399296349575</v>
      </c>
      <c r="G67" s="109" t="n">
        <f aca="false">PERC_AVISO_PREVIO_TRAB%*(G32+G39+G51+G60)</f>
        <v>35.3747741257231</v>
      </c>
      <c r="H67" s="109" t="n">
        <f aca="false">PERC_AVISO_PREVIO_TRAB%*(H32+H39+H51+H60)</f>
        <v>37.1211041730582</v>
      </c>
    </row>
    <row r="68" s="7" customFormat="true" ht="35.25" hidden="false" customHeight="true" outlineLevel="0" collapsed="false">
      <c r="B68" s="22" t="s">
        <v>25</v>
      </c>
      <c r="C68" s="114" t="s">
        <v>184</v>
      </c>
      <c r="D68" s="114"/>
      <c r="E68" s="111" t="n">
        <f aca="false">PERC_GPS_FGTS_AVISO_PREVIO_TRAB</f>
        <v>0.425307510444444</v>
      </c>
      <c r="F68" s="107" t="n">
        <f aca="false">PERC_GPS_FGTS_AVISO_PREVIO_TRAB%*(MOD_1_REMUNERACAO_12X36_NOT+SUBMOD_2_1_DEC_TERC_ADIC_FERIAS_12X36_NOT)</f>
        <v>9.8602686053557</v>
      </c>
      <c r="G68" s="107" t="n">
        <f aca="false">PERC_GPS_FGTS_AVISO_PREVIO_TRAB%*(G32+G39)</f>
        <v>8.23963689601542</v>
      </c>
      <c r="H68" s="107" t="n">
        <f aca="false">PERC_GPS_FGTS_AVISO_PREVIO_TRAB%*(H32+H39)</f>
        <v>8.18383800055707</v>
      </c>
    </row>
    <row r="69" customFormat="false" ht="32.25" hidden="false" customHeight="true" outlineLevel="0" collapsed="false">
      <c r="A69" s="7"/>
      <c r="B69" s="22" t="s">
        <v>60</v>
      </c>
      <c r="C69" s="115" t="s">
        <v>216</v>
      </c>
      <c r="D69" s="115"/>
      <c r="E69" s="113" t="n">
        <f aca="false">PERC_MULTA_FGTS_AV_PREV_TRAB</f>
        <v>0.04</v>
      </c>
      <c r="F69" s="109" t="n">
        <f aca="false">PERC_MULTA_FGTS_AV_PREV_TRAB%*(MOD_1_REMUNERACAO_12X36_NOT+SUBMOD_2_1_DEC_TERC_ADIC_FERIAS_12X36_NOT)</f>
        <v>0.927354289610523</v>
      </c>
      <c r="G69" s="109" t="n">
        <f aca="false">PERC_MULTA_FGTS_AV_PREV_TRAB%*(G32+G39)</f>
        <v>0.77493453030303</v>
      </c>
      <c r="H69" s="109" t="n">
        <f aca="false">PERC_MULTA_FGTS_AV_PREV_TRAB%*(H32+H39)</f>
        <v>0.769686666666667</v>
      </c>
    </row>
    <row r="70" customFormat="false" ht="13.8" hidden="false" customHeight="false" outlineLevel="0" collapsed="false">
      <c r="A70" s="7"/>
      <c r="B70" s="70" t="s">
        <v>76</v>
      </c>
      <c r="C70" s="70"/>
      <c r="D70" s="70"/>
      <c r="E70" s="70"/>
      <c r="F70" s="145" t="n">
        <f aca="false">SUM(F64:F69)</f>
        <v>61.4250730161308</v>
      </c>
      <c r="G70" s="145" t="n">
        <f aca="false">SUM(G64:G69)</f>
        <v>52.305512871791</v>
      </c>
      <c r="H70" s="145" t="n">
        <f aca="false">SUM(H64:H69)</f>
        <v>54.4373018594749</v>
      </c>
    </row>
    <row r="71" customFormat="false" ht="7.5" hidden="false" customHeight="true" outlineLevel="0" collapsed="false">
      <c r="B71" s="148"/>
      <c r="C71" s="103"/>
      <c r="D71" s="47"/>
      <c r="E71" s="60"/>
      <c r="F71" s="60"/>
    </row>
    <row r="72" s="7" customFormat="true" ht="15.95" hidden="false" customHeight="true" outlineLevel="0" collapsed="false">
      <c r="B72" s="59" t="str">
        <f aca="false">'INSERÇÃO-DE-DADOS'!B75</f>
        <v>MÓDULO 4: CUSTO DE REPOSIÇÃO DO PROFISSIONAL AUSENTE/INTRAJORNADA</v>
      </c>
      <c r="C72" s="76"/>
      <c r="D72" s="77"/>
      <c r="E72" s="1"/>
      <c r="F72" s="1"/>
    </row>
    <row r="73" s="7" customFormat="true" ht="15.95" hidden="false" customHeight="true" outlineLevel="0" collapsed="false">
      <c r="B73" s="59" t="s">
        <v>99</v>
      </c>
      <c r="C73" s="76"/>
      <c r="D73" s="77"/>
      <c r="E73" s="78"/>
      <c r="F73" s="78"/>
    </row>
    <row r="74" s="7" customFormat="true" ht="31.3" hidden="false" customHeight="true" outlineLevel="0" collapsed="false">
      <c r="B74" s="61" t="s">
        <v>100</v>
      </c>
      <c r="C74" s="62" t="s">
        <v>101</v>
      </c>
      <c r="D74" s="62"/>
      <c r="E74" s="22" t="s">
        <v>65</v>
      </c>
      <c r="F74" s="135" t="s">
        <v>207</v>
      </c>
      <c r="G74" s="136" t="s">
        <v>208</v>
      </c>
      <c r="H74" s="136" t="s">
        <v>209</v>
      </c>
    </row>
    <row r="75" s="7" customFormat="true" ht="16.5" hidden="false" customHeight="true" outlineLevel="0" collapsed="false">
      <c r="B75" s="61"/>
      <c r="C75" s="62"/>
      <c r="D75" s="62"/>
      <c r="E75" s="22"/>
      <c r="F75" s="22" t="s">
        <v>111</v>
      </c>
      <c r="G75" s="22" t="s">
        <v>111</v>
      </c>
      <c r="H75" s="22" t="s">
        <v>111</v>
      </c>
    </row>
    <row r="76" s="7" customFormat="true" ht="15.95" hidden="false" customHeight="true" outlineLevel="0" collapsed="false">
      <c r="B76" s="22" t="s">
        <v>15</v>
      </c>
      <c r="C76" s="69" t="s">
        <v>188</v>
      </c>
      <c r="D76" s="69"/>
      <c r="E76" s="111" t="n">
        <f aca="false">PERC_SUBSTITUTO_FERIAS</f>
        <v>8.33333333333333</v>
      </c>
      <c r="F76" s="107" t="n">
        <f aca="false">PERC_SUBSTITUTO_FERIAS%*(MOD_1_REMUNERACAO_12X36_NOT+MOD_2_ENCARGOS_BENEFICIOS_12X36_NOT+MOD_3_PROVISAO_RESCISAO_12X36_NOT)</f>
        <v>303.627103623677</v>
      </c>
      <c r="G76" s="107" t="n">
        <f aca="false">PERC_SUBSTITUTO_FERIAS%*(G32+G112+G70)</f>
        <v>259.427508875679</v>
      </c>
      <c r="H76" s="107" t="n">
        <f aca="false">PERC_SUBSTITUTO_FERIAS%*(H32+H112+H70)</f>
        <v>272.197016821623</v>
      </c>
    </row>
    <row r="77" s="7" customFormat="true" ht="15.95" hidden="false" customHeight="true" outlineLevel="0" collapsed="false">
      <c r="B77" s="22" t="s">
        <v>17</v>
      </c>
      <c r="C77" s="26" t="s">
        <v>190</v>
      </c>
      <c r="D77" s="26"/>
      <c r="E77" s="113" t="n">
        <f aca="false">PERC_SUBSTITUTO_AUSENCIAS_LEGAIS</f>
        <v>2.22222222222222</v>
      </c>
      <c r="F77" s="109" t="n">
        <f aca="false">PERC_SUBSTITUTO_AUSENCIAS_LEGAIS%*(MOD_1_REMUNERACAO_12X36_NOT+MOD_2_ENCARGOS_BENEFICIOS_12X36_NOT+MOD_3_PROVISAO_RESCISAO_12X36_NOT)</f>
        <v>80.9672276329805</v>
      </c>
      <c r="G77" s="109" t="n">
        <f aca="false">PERC_SUBSTITUTO_AUSENCIAS_LEGAIS%*(G32+G70+G112)</f>
        <v>69.1806690335145</v>
      </c>
      <c r="H77" s="109" t="n">
        <f aca="false">PERC_SUBSTITUTO_AUSENCIAS_LEGAIS%*(H32+H70+H112)</f>
        <v>72.5858711524328</v>
      </c>
    </row>
    <row r="78" s="7" customFormat="true" ht="15.95" hidden="false" customHeight="true" outlineLevel="0" collapsed="false">
      <c r="B78" s="22" t="s">
        <v>20</v>
      </c>
      <c r="C78" s="69" t="s">
        <v>192</v>
      </c>
      <c r="D78" s="69"/>
      <c r="E78" s="111" t="n">
        <f aca="false">PERC_SUBSTITUTO_LICENCA_PATERNIDADE</f>
        <v>0.0394444444444444</v>
      </c>
      <c r="F78" s="107" t="n">
        <f aca="false">PERC_SUBSTITUTO_LICENCA_PATERNIDADE%*(MOD_1_REMUNERACAO_12X36_NOT+MOD_2_ENCARGOS_BENEFICIOS_12X36_NOT+MOD_3_PROVISAO_RESCISAO_12X36_NOT)</f>
        <v>1.4371682904854</v>
      </c>
      <c r="G78" s="107" t="n">
        <f aca="false">PERC_SUBSTITUTO_LICENCA_PATERNIDADE%*(G32+G70+G112)</f>
        <v>1.22795687534488</v>
      </c>
      <c r="H78" s="107" t="n">
        <f aca="false">PERC_SUBSTITUTO_LICENCA_PATERNIDADE%*(H32+H70+H112)</f>
        <v>1.28839921295568</v>
      </c>
    </row>
    <row r="79" s="7" customFormat="true" ht="16.5" hidden="false" customHeight="true" outlineLevel="0" collapsed="false">
      <c r="B79" s="22" t="s">
        <v>23</v>
      </c>
      <c r="C79" s="26" t="s">
        <v>194</v>
      </c>
      <c r="D79" s="26"/>
      <c r="E79" s="113" t="n">
        <f aca="false">PERC_SUBSTITUTO_ACID_TRAB</f>
        <v>0.0185302229372558</v>
      </c>
      <c r="F79" s="109" t="n">
        <f aca="false">PERC_SUBSTITUTO_ACID_TRAB%*(MOD_1_REMUNERACAO_12X36_NOT+MOD_2_ENCARGOS_BENEFICIOS_12X36_NOT+MOD_3_PROVISAO_RESCISAO_12X36_NOT)</f>
        <v>0.675153350392799</v>
      </c>
      <c r="G79" s="109" t="n">
        <f aca="false">PERC_SUBSTITUTO_ACID_TRAB%*(G32+G70+G112)</f>
        <v>0.57686994906279</v>
      </c>
      <c r="H79" s="109" t="n">
        <f aca="false">PERC_SUBSTITUTO_ACID_TRAB%*(H32+H70+H112)</f>
        <v>0.605264568547276</v>
      </c>
    </row>
    <row r="80" customFormat="false" ht="16.5" hidden="false" customHeight="true" outlineLevel="0" collapsed="false">
      <c r="A80" s="7"/>
      <c r="B80" s="22" t="s">
        <v>25</v>
      </c>
      <c r="C80" s="69" t="s">
        <v>196</v>
      </c>
      <c r="D80" s="69"/>
      <c r="E80" s="111" t="n">
        <f aca="false">PERC_SUBSTITUTO_AFAST_MATERN</f>
        <v>0.13064</v>
      </c>
      <c r="F80" s="107" t="n">
        <f aca="false">PERC_SUBSTITUTO_AFAST_MATERN%*(MOD_1_REMUNERACAO_12X36_NOT+MOD_2_ENCARGOS_BENEFICIOS_12X36_NOT+MOD_3_PROVISAO_RESCISAO_12X36_NOT)</f>
        <v>4.75990137808766</v>
      </c>
      <c r="G80" s="107" t="n">
        <f aca="false">PERC_SUBSTITUTO_AFAST_MATERN%*(G32+G70+G112)</f>
        <v>4.06699317114225</v>
      </c>
      <c r="H80" s="107" t="n">
        <f aca="false">PERC_SUBSTITUTO_AFAST_MATERN%*(H32+H70+H112)</f>
        <v>4.26717819330922</v>
      </c>
    </row>
    <row r="81" customFormat="false" ht="16.4" hidden="false" customHeight="false" outlineLevel="0" collapsed="false">
      <c r="A81" s="7"/>
      <c r="B81" s="22" t="s">
        <v>60</v>
      </c>
      <c r="C81" s="149" t="str">
        <f aca="false">OUTRAS_AUSENCIAS_DESCRICAO</f>
        <v>Outras Ausências (Especificar - em %)</v>
      </c>
      <c r="D81" s="149"/>
      <c r="E81" s="150" t="n">
        <f aca="false">PERC_SUBSTITUTO_OUTRAS_AUSENCIAS</f>
        <v>0</v>
      </c>
      <c r="F81" s="109" t="n">
        <f aca="false">PERC_SUBSTITUTO_OUTRAS_AUSENCIAS%*(MOD_1_REMUNERACAO_12X36_NOT+MOD_2_ENCARGOS_BENEFICIOS_12X36_NOT+MOD_3_PROVISAO_RESCISAO_12X36_NOT)</f>
        <v>0</v>
      </c>
      <c r="G81" s="109" t="n">
        <f aca="false">PERC_SUBSTITUTO_OUTRAS_AUSENCIAS%*(G32+G70+G112)</f>
        <v>0</v>
      </c>
      <c r="H81" s="109" t="n">
        <f aca="false">PERC_SUBSTITUTO_OUTRAS_AUSENCIAS%*(H32+H70+H112)</f>
        <v>0</v>
      </c>
    </row>
    <row r="82" customFormat="false" ht="13.8" hidden="false" customHeight="false" outlineLevel="0" collapsed="false">
      <c r="A82" s="7"/>
      <c r="B82" s="70" t="s">
        <v>76</v>
      </c>
      <c r="C82" s="70"/>
      <c r="D82" s="70"/>
      <c r="E82" s="70"/>
      <c r="F82" s="145" t="n">
        <f aca="false">SUM(F76:F81)</f>
        <v>391.466554275623</v>
      </c>
      <c r="G82" s="145" t="n">
        <f aca="false">SUM(G76:G81)</f>
        <v>334.479997904744</v>
      </c>
      <c r="H82" s="145" t="n">
        <f aca="false">SUM(H76:H81)</f>
        <v>350.943729948868</v>
      </c>
    </row>
    <row r="83" customFormat="false" ht="15" hidden="false" customHeight="true" outlineLevel="0" collapsed="false">
      <c r="A83" s="7"/>
      <c r="B83" s="59" t="str">
        <f aca="false">SUBMOD_4_2</f>
        <v>Submódulo 4.2 – Indenização devida ao empregado pelo trabalho no intervalo intrajornada</v>
      </c>
      <c r="C83" s="76"/>
      <c r="D83" s="77"/>
      <c r="E83" s="78"/>
      <c r="F83" s="78"/>
    </row>
    <row r="84" customFormat="false" ht="31.3" hidden="false" customHeight="false" outlineLevel="0" collapsed="false">
      <c r="A84" s="7"/>
      <c r="B84" s="61" t="s">
        <v>104</v>
      </c>
      <c r="C84" s="70" t="str">
        <f aca="false">'PRMS EM CAMPO GRANDE'!C84</f>
        <v>Intrajornada</v>
      </c>
      <c r="D84" s="70"/>
      <c r="E84" s="70"/>
      <c r="F84" s="135" t="s">
        <v>207</v>
      </c>
      <c r="G84" s="136" t="s">
        <v>208</v>
      </c>
      <c r="H84" s="136" t="s">
        <v>209</v>
      </c>
    </row>
    <row r="85" customFormat="false" ht="16.4" hidden="false" customHeight="false" outlineLevel="0" collapsed="false">
      <c r="A85" s="7"/>
      <c r="B85" s="61"/>
      <c r="C85" s="70"/>
      <c r="D85" s="70"/>
      <c r="E85" s="70"/>
      <c r="F85" s="22" t="s">
        <v>111</v>
      </c>
      <c r="G85" s="22" t="s">
        <v>111</v>
      </c>
      <c r="H85" s="22" t="s">
        <v>111</v>
      </c>
    </row>
    <row r="86" customFormat="false" ht="16.5" hidden="false" customHeight="true" outlineLevel="0" collapsed="false">
      <c r="A86" s="7"/>
      <c r="B86" s="61" t="s">
        <v>15</v>
      </c>
      <c r="C86" s="69" t="str">
        <f aca="false">'PRMS EM CAMPO GRANDE'!C86</f>
        <v>Trabalho durante o intervalo intrajornada</v>
      </c>
      <c r="D86" s="69"/>
      <c r="E86" s="69"/>
      <c r="F86" s="104" t="n">
        <f aca="false">((MOD_1_REMUNERACAO_12X36_NOT)/DIVISOR_DE_HORAS)*((TEMPO_INTERVALO_REFEICAO/HORA_NORMAL)+PERC_HORA_EXTRA%)*DIAS_TRABALHADOS_NO_MES_12X36</f>
        <v>213.396867779694</v>
      </c>
      <c r="G86" s="104" t="n">
        <f aca="false">((G32)/DIVISOR_DE_HORAS)*((TEMPO_INTERVALO_REFEICAO/HORA_NORMAL)+PERC_HORA_EXTRA%)*DIAS_TRABALHADOS_NO_MES_12X36</f>
        <v>178.323002711777</v>
      </c>
      <c r="H86" s="104" t="n">
        <f aca="false">((H32)/DIVISOR_DE_HORAS)*((TEMPO_INTERVALO_REFEICAO/HORA_NORMAL)+PERC_HORA_EXTRA%)*DIAS_UTEIS_TRABALHADOS_NO_MES_44HORAS</f>
        <v>259.76925</v>
      </c>
      <c r="I86" s="173"/>
      <c r="J86" s="173"/>
      <c r="K86" s="173"/>
    </row>
    <row r="87" customFormat="false" ht="13.8" hidden="false" customHeight="false" outlineLevel="0" collapsed="false">
      <c r="A87" s="7"/>
      <c r="B87" s="70" t="s">
        <v>76</v>
      </c>
      <c r="C87" s="70"/>
      <c r="D87" s="70"/>
      <c r="E87" s="70"/>
      <c r="F87" s="145" t="n">
        <f aca="false">SUM(F86)</f>
        <v>213.396867779694</v>
      </c>
      <c r="G87" s="145" t="n">
        <f aca="false">SUM(G86)</f>
        <v>178.323002711777</v>
      </c>
      <c r="H87" s="145" t="n">
        <f aca="false">SUM(H86)</f>
        <v>259.76925</v>
      </c>
    </row>
    <row r="88" customFormat="false" ht="7.5" hidden="false" customHeight="true" outlineLevel="0" collapsed="false">
      <c r="B88" s="148"/>
      <c r="C88" s="103"/>
      <c r="D88" s="47"/>
      <c r="E88" s="60"/>
      <c r="F88" s="60"/>
    </row>
    <row r="89" customFormat="false" ht="16.5" hidden="false" customHeight="false" outlineLevel="0" collapsed="false">
      <c r="B89" s="59" t="s">
        <v>109</v>
      </c>
      <c r="C89" s="76"/>
      <c r="D89" s="76"/>
      <c r="E89" s="78"/>
      <c r="F89" s="78"/>
    </row>
    <row r="90" customFormat="false" ht="31.3" hidden="false" customHeight="true" outlineLevel="0" collapsed="false">
      <c r="B90" s="82" t="n">
        <v>5</v>
      </c>
      <c r="C90" s="84" t="s">
        <v>110</v>
      </c>
      <c r="D90" s="84"/>
      <c r="E90" s="84"/>
      <c r="F90" s="135" t="s">
        <v>207</v>
      </c>
      <c r="G90" s="136" t="s">
        <v>208</v>
      </c>
      <c r="H90" s="136" t="s">
        <v>209</v>
      </c>
      <c r="M90" s="141"/>
    </row>
    <row r="91" customFormat="false" ht="15.75" hidden="false" customHeight="true" outlineLevel="0" collapsed="false">
      <c r="B91" s="82"/>
      <c r="C91" s="84"/>
      <c r="D91" s="84"/>
      <c r="E91" s="84"/>
      <c r="F91" s="84" t="s">
        <v>111</v>
      </c>
      <c r="G91" s="84" t="s">
        <v>111</v>
      </c>
      <c r="H91" s="84" t="s">
        <v>111</v>
      </c>
    </row>
    <row r="92" customFormat="false" ht="16.5" hidden="false" customHeight="true" outlineLevel="0" collapsed="false">
      <c r="B92" s="151" t="s">
        <v>15</v>
      </c>
      <c r="C92" s="152" t="s">
        <v>218</v>
      </c>
      <c r="D92" s="152"/>
      <c r="E92" s="152"/>
      <c r="F92" s="153" t="n">
        <f aca="false">VALOR_UNIFORME_POSTO</f>
        <v>72.085</v>
      </c>
      <c r="G92" s="153" t="n">
        <f aca="false">VALOR_UNIFORME_POSTO</f>
        <v>72.085</v>
      </c>
      <c r="H92" s="153" t="n">
        <f aca="false">VALOR_UNIFORME_POSTO</f>
        <v>72.085</v>
      </c>
      <c r="I92" s="140"/>
      <c r="M92" s="141"/>
    </row>
    <row r="93" customFormat="false" ht="16.5" hidden="false" customHeight="true" outlineLevel="0" collapsed="false">
      <c r="B93" s="151" t="s">
        <v>17</v>
      </c>
      <c r="C93" s="154" t="s">
        <v>219</v>
      </c>
      <c r="D93" s="154"/>
      <c r="E93" s="154"/>
      <c r="F93" s="155"/>
      <c r="G93" s="155"/>
      <c r="H93" s="155"/>
    </row>
    <row r="94" customFormat="false" ht="16.5" hidden="false" customHeight="true" outlineLevel="0" collapsed="false">
      <c r="B94" s="151" t="s">
        <v>20</v>
      </c>
      <c r="C94" s="152" t="s">
        <v>220</v>
      </c>
      <c r="D94" s="152"/>
      <c r="E94" s="152"/>
      <c r="F94" s="153" t="n">
        <f aca="false">VALOR_EQUIP_12X36_NOT+VALOR_EQUIP_USO_COMPART_12X36</f>
        <v>24.0749520833333</v>
      </c>
      <c r="G94" s="153" t="n">
        <f aca="false">VALOR_EQUIP_12X36_DIURNO+VALOR_EQUIP_USO_COMPART_12X36</f>
        <v>18.32654375</v>
      </c>
      <c r="H94" s="153" t="n">
        <f aca="false">VALOR_EQUIP_POSTO_44_HORAS+VALOR_EQUIP_LEITOR_POSTO_44_INT</f>
        <v>87.9549583333333</v>
      </c>
    </row>
    <row r="95" customFormat="false" ht="16.4" hidden="false" customHeight="true" outlineLevel="0" collapsed="false">
      <c r="B95" s="151" t="s">
        <v>23</v>
      </c>
      <c r="C95" s="156" t="s">
        <v>221</v>
      </c>
      <c r="D95" s="156"/>
      <c r="E95" s="156"/>
      <c r="F95" s="155"/>
      <c r="G95" s="155"/>
      <c r="H95" s="155"/>
    </row>
    <row r="96" customFormat="false" ht="16.5" hidden="false" customHeight="true" outlineLevel="0" collapsed="false">
      <c r="B96" s="83" t="s">
        <v>76</v>
      </c>
      <c r="C96" s="83"/>
      <c r="D96" s="83"/>
      <c r="E96" s="83"/>
      <c r="F96" s="157" t="n">
        <f aca="false">SUM(F92:F95)</f>
        <v>96.1599520833333</v>
      </c>
      <c r="G96" s="157" t="n">
        <f aca="false">SUM(G92:G95)</f>
        <v>90.41154375</v>
      </c>
      <c r="H96" s="157" t="n">
        <f aca="false">SUM(H92:H95)</f>
        <v>160.039958333333</v>
      </c>
    </row>
    <row r="97" customFormat="false" ht="7.5" hidden="false" customHeight="true" outlineLevel="0" collapsed="false">
      <c r="B97" s="148"/>
      <c r="C97" s="103"/>
      <c r="D97" s="47"/>
      <c r="E97" s="60"/>
      <c r="F97" s="60"/>
    </row>
    <row r="98" customFormat="false" ht="15" hidden="false" customHeight="true" outlineLevel="0" collapsed="false">
      <c r="B98" s="85" t="s">
        <v>113</v>
      </c>
      <c r="C98" s="85"/>
      <c r="D98" s="85"/>
      <c r="E98" s="85"/>
      <c r="F98" s="85"/>
    </row>
    <row r="99" customFormat="false" ht="31.3" hidden="false" customHeight="true" outlineLevel="0" collapsed="false">
      <c r="B99" s="61" t="n">
        <v>6</v>
      </c>
      <c r="C99" s="70" t="s">
        <v>114</v>
      </c>
      <c r="D99" s="70"/>
      <c r="E99" s="22" t="s">
        <v>65</v>
      </c>
      <c r="F99" s="135" t="s">
        <v>207</v>
      </c>
      <c r="G99" s="136" t="s">
        <v>208</v>
      </c>
      <c r="H99" s="136" t="s">
        <v>209</v>
      </c>
    </row>
    <row r="100" customFormat="false" ht="16.4" hidden="false" customHeight="false" outlineLevel="0" collapsed="false">
      <c r="B100" s="61"/>
      <c r="C100" s="70"/>
      <c r="D100" s="70"/>
      <c r="E100" s="22"/>
      <c r="F100" s="22" t="s">
        <v>111</v>
      </c>
      <c r="G100" s="22" t="s">
        <v>111</v>
      </c>
      <c r="H100" s="22" t="s">
        <v>111</v>
      </c>
    </row>
    <row r="101" customFormat="false" ht="16.5" hidden="false" customHeight="true" outlineLevel="0" collapsed="false">
      <c r="B101" s="61" t="s">
        <v>15</v>
      </c>
      <c r="C101" s="69" t="s">
        <v>117</v>
      </c>
      <c r="D101" s="69"/>
      <c r="E101" s="158" t="n">
        <f aca="false">PERC_CUSTOS_INDIRETOS</f>
        <v>4.85</v>
      </c>
      <c r="F101" s="107" t="n">
        <f aca="false">PERC_CUSTOS_INDIRETOS_NAVIRAI%*(MOD_1_REMUNERACAO_12X36_NOT+MOD_2_ENCARGOS_BENEFICIOS_12X36_NOT+MOD_3_PROVISAO_RESCISAO_12X36_NOT+MOD_4_CUSTO_REPOSICAO_12X36_NOT+MOD_5_INSUMOS_12X36_NOT)</f>
        <v>210.710607954704</v>
      </c>
      <c r="G101" s="107" t="n">
        <f aca="false">PERC_CUSTOS_INDIRETOS_NAVIRAI%*(G111+G112+G113+G114+G115)</f>
        <v>180.242715567422</v>
      </c>
      <c r="H101" s="107" t="n">
        <f aca="false">PERC_CUSTOS_INDIRETOS_NAVIRAI%*(H111+H112+H113+H114+H115)</f>
        <v>195.800181296871</v>
      </c>
    </row>
    <row r="102" customFormat="false" ht="15.75" hidden="false" customHeight="true" outlineLevel="0" collapsed="false">
      <c r="B102" s="22" t="s">
        <v>17</v>
      </c>
      <c r="C102" s="26" t="s">
        <v>118</v>
      </c>
      <c r="D102" s="26"/>
      <c r="E102" s="159" t="n">
        <f aca="false">PERC_LUCRO</f>
        <v>5.45</v>
      </c>
      <c r="F102" s="109" t="n">
        <f aca="false">PERC_LUCRO_NAVIRAI%*(MOD_1_REMUNERACAO_12X36_NOT+MOD_2_ENCARGOS_BENEFICIOS_12X36_NOT+MOD_3_PROVISAO_RESCISAO_12X36_NOT+MOD_4_CUSTO_REPOSICAO_12X36_NOT+MOD_5_INSUMOS_12X36_NOT+AL_6_A_CUSTOS_INDIRETOS_12X36_NOT)</f>
        <v>248.261627793972</v>
      </c>
      <c r="G102" s="109" t="n">
        <f aca="false">PERC_LUCRO_NAVIRAI%*(G111+G112+G113+G114+G115+G101)</f>
        <v>212.364011471094</v>
      </c>
      <c r="H102" s="109" t="n">
        <f aca="false">PERC_LUCRO_NAVIRAI%*(H111+H112+H113+H114+H115+H101)</f>
        <v>230.693994018401</v>
      </c>
    </row>
    <row r="103" customFormat="false" ht="16.5" hidden="false" customHeight="true" outlineLevel="0" collapsed="false">
      <c r="B103" s="22" t="s">
        <v>20</v>
      </c>
      <c r="C103" s="69" t="s">
        <v>119</v>
      </c>
      <c r="D103" s="69"/>
      <c r="E103" s="158" t="n">
        <f aca="false">SUM(E104:E106)</f>
        <v>8.65</v>
      </c>
      <c r="F103" s="107" t="n">
        <f aca="false">SUM(F104:F106)</f>
        <v>454.848991589086</v>
      </c>
      <c r="G103" s="107" t="n">
        <f aca="false">SUM(G104:G106)</f>
        <v>389.07968712588</v>
      </c>
      <c r="H103" s="107" t="n">
        <f aca="false">SUM(H104:H106)</f>
        <v>422.662702558321</v>
      </c>
    </row>
    <row r="104" customFormat="false" ht="15.75" hidden="false" customHeight="true" outlineLevel="0" collapsed="false">
      <c r="B104" s="92" t="s">
        <v>120</v>
      </c>
      <c r="C104" s="160" t="s">
        <v>121</v>
      </c>
      <c r="D104" s="160"/>
      <c r="E104" s="161" t="n">
        <f aca="false">PERC_PIS</f>
        <v>0.65</v>
      </c>
      <c r="F104" s="162" t="n">
        <f aca="false">((MOD_1_REMUNERACAO_12X36_NOT+MOD_2_ENCARGOS_BENEFICIOS_12X36_NOT+MOD_3_PROVISAO_RESCISAO_12X36_NOT+MOD_4_CUSTO_REPOSICAO_12X36_NOT+MOD_5_INSUMOS_12X36_NOT+AL_6_A_CUSTOS_INDIRETOS_12X36_NOT+AL_6_B_LUCRO_12X36_NOT)*PERC_PIS%)/(1-E103%)</f>
        <v>34.1794039922435</v>
      </c>
      <c r="G104" s="162" t="n">
        <f aca="false">((G111+G112+G113+G114+G115+G101+G102)*PERC_PIS%)/(1-E103%)</f>
        <v>29.237201922754</v>
      </c>
      <c r="H104" s="162" t="n">
        <f aca="false">((H111+H112+H113+H114+H115+H101+H102)*PERC_PIS%)/(1-E103%)</f>
        <v>31.7607811170992</v>
      </c>
    </row>
    <row r="105" customFormat="false" ht="16.5" hidden="false" customHeight="true" outlineLevel="0" collapsed="false">
      <c r="B105" s="92" t="s">
        <v>122</v>
      </c>
      <c r="C105" s="163" t="s">
        <v>123</v>
      </c>
      <c r="D105" s="163"/>
      <c r="E105" s="164" t="n">
        <f aca="false">PERC_COFINS</f>
        <v>3</v>
      </c>
      <c r="F105" s="165" t="n">
        <f aca="false">((MOD_1_REMUNERACAO_12X36_NOT+MOD_2_ENCARGOS_BENEFICIOS_12X36_NOT+MOD_3_PROVISAO_RESCISAO_12X36_NOT+MOD_4_CUSTO_REPOSICAO_12X36_NOT+MOD_5_INSUMOS_12X36_NOT+AL_6_A_CUSTOS_INDIRETOS_12X36_NOT+AL_6_B_LUCRO_12X36_NOT)*PERC_COFINS%)/(1-E103%)</f>
        <v>157.751095348816</v>
      </c>
      <c r="G105" s="165" t="n">
        <f aca="false">((G111+G112+G113+G114+G115+G101+G102)*PERC_COFINS%)/(1-E103%)</f>
        <v>134.940931951172</v>
      </c>
      <c r="H105" s="165" t="n">
        <f aca="false">((H111+H112+H113+H114+H115+H101+H102)*PERC_COFINS%)/(1-E103%)</f>
        <v>146.588220540458</v>
      </c>
    </row>
    <row r="106" s="91" customFormat="true" ht="16.5" hidden="false" customHeight="true" outlineLevel="0" collapsed="false">
      <c r="B106" s="92" t="s">
        <v>124</v>
      </c>
      <c r="C106" s="160" t="s">
        <v>125</v>
      </c>
      <c r="D106" s="160"/>
      <c r="E106" s="161" t="n">
        <f aca="false">PERC_ISS_CORUMBA</f>
        <v>5</v>
      </c>
      <c r="F106" s="162" t="n">
        <f aca="false">((MOD_1_REMUNERACAO_12X36_NOT+MOD_2_ENCARGOS_BENEFICIOS_12X36_NOT+MOD_3_PROVISAO_RESCISAO_12X36_NOT+MOD_4_CUSTO_REPOSICAO_12X36_NOT+MOD_5_INSUMOS_12X36_NOT+AL_6_A_CUSTOS_INDIRETOS_12X36_NOT+AL_6_B_LUCRO_12X36_NOT)*PERC_ISS_NAVIRAI%)/(1-E103%)</f>
        <v>262.918492248027</v>
      </c>
      <c r="G106" s="162" t="n">
        <f aca="false">((G111+G112+G113+G114+G115+G101+G102)*PERC_ISS_NAVIRAI%)/(1-E103%)</f>
        <v>224.901553251954</v>
      </c>
      <c r="H106" s="162" t="n">
        <f aca="false">((H111+H112+H113+H114+H115+H101+H102)*PERC_ISS_NAVIRAI%)/(1-E103%)</f>
        <v>244.313700900763</v>
      </c>
    </row>
    <row r="107" customFormat="false" ht="16.4" hidden="false" customHeight="false" outlineLevel="0" collapsed="false">
      <c r="A107" s="91"/>
      <c r="B107" s="70" t="s">
        <v>76</v>
      </c>
      <c r="C107" s="70"/>
      <c r="D107" s="70"/>
      <c r="E107" s="70"/>
      <c r="F107" s="166" t="n">
        <f aca="false">AL_6_A_CUSTOS_INDIRETOS_12X36_NOT+AL_6_B_LUCRO_12X36_NOT+AL_6_C_TRIBUTOS_12X36_NOT</f>
        <v>913.821227337763</v>
      </c>
      <c r="G107" s="166" t="n">
        <f aca="false">SUM(G101:G103)</f>
        <v>781.686414164396</v>
      </c>
      <c r="H107" s="166" t="n">
        <f aca="false">SUM(H101:H103)</f>
        <v>849.156877873593</v>
      </c>
    </row>
    <row r="108" customFormat="false" ht="20.25" hidden="false" customHeight="false" outlineLevel="0" collapsed="false">
      <c r="A108" s="91"/>
      <c r="B108" s="167" t="s">
        <v>223</v>
      </c>
      <c r="C108" s="168"/>
      <c r="D108" s="168"/>
      <c r="E108" s="168"/>
      <c r="F108" s="169"/>
    </row>
    <row r="109" customFormat="false" ht="31.5" hidden="false" customHeight="true" outlineLevel="0" collapsed="false">
      <c r="A109" s="91"/>
      <c r="B109" s="22" t="s">
        <v>224</v>
      </c>
      <c r="C109" s="62" t="s">
        <v>225</v>
      </c>
      <c r="D109" s="62"/>
      <c r="E109" s="62"/>
      <c r="F109" s="135" t="s">
        <v>207</v>
      </c>
      <c r="G109" s="136" t="s">
        <v>208</v>
      </c>
      <c r="H109" s="136" t="s">
        <v>209</v>
      </c>
    </row>
    <row r="110" s="86" customFormat="true" ht="16.5" hidden="false" customHeight="true" outlineLevel="0" collapsed="false">
      <c r="B110" s="22"/>
      <c r="C110" s="62"/>
      <c r="D110" s="62"/>
      <c r="E110" s="62"/>
      <c r="F110" s="22" t="s">
        <v>226</v>
      </c>
      <c r="G110" s="22" t="s">
        <v>226</v>
      </c>
      <c r="H110" s="22" t="s">
        <v>226</v>
      </c>
    </row>
    <row r="111" s="91" customFormat="true" ht="16.5" hidden="false" customHeight="true" outlineLevel="0" collapsed="false">
      <c r="B111" s="61" t="n">
        <v>1</v>
      </c>
      <c r="C111" s="69" t="s">
        <v>53</v>
      </c>
      <c r="D111" s="69"/>
      <c r="E111" s="69"/>
      <c r="F111" s="107" t="n">
        <f aca="false">MOD_1_REMUNERACAO_12X36_NOT</f>
        <v>2086.54715162368</v>
      </c>
      <c r="G111" s="107" t="n">
        <f aca="false">G32</f>
        <v>1743.60269318182</v>
      </c>
      <c r="H111" s="107" t="n">
        <f aca="false">H32</f>
        <v>1731.795</v>
      </c>
    </row>
    <row r="112" s="87" customFormat="true" ht="16.5" hidden="false" customHeight="true" outlineLevel="0" collapsed="false">
      <c r="B112" s="22" t="n">
        <v>2</v>
      </c>
      <c r="C112" s="26" t="s">
        <v>227</v>
      </c>
      <c r="D112" s="26"/>
      <c r="E112" s="26"/>
      <c r="F112" s="109" t="n">
        <f aca="false">MOD_2_ENCARGOS_BENEFICIOS_12X36_NOT</f>
        <v>1495.55301884431</v>
      </c>
      <c r="G112" s="109" t="n">
        <f aca="false">G39+G51+G60</f>
        <v>1317.22190045455</v>
      </c>
      <c r="H112" s="109" t="n">
        <f aca="false">H39+H51+H60</f>
        <v>1480.1319</v>
      </c>
    </row>
    <row r="113" customFormat="false" ht="16.5" hidden="false" customHeight="true" outlineLevel="0" collapsed="false">
      <c r="A113" s="87"/>
      <c r="B113" s="22" t="n">
        <v>3</v>
      </c>
      <c r="C113" s="69" t="s">
        <v>147</v>
      </c>
      <c r="D113" s="69"/>
      <c r="E113" s="69"/>
      <c r="F113" s="107" t="n">
        <f aca="false">MOD_3_PROVISAO_RESCISAO_12X36_NOT</f>
        <v>61.4250730161308</v>
      </c>
      <c r="G113" s="107" t="n">
        <f aca="false">G70</f>
        <v>52.305512871791</v>
      </c>
      <c r="H113" s="107" t="n">
        <f aca="false">H70</f>
        <v>54.4373018594749</v>
      </c>
    </row>
    <row r="114" customFormat="false" ht="16.5" hidden="false" customHeight="true" outlineLevel="0" collapsed="false">
      <c r="A114" s="87"/>
      <c r="B114" s="22" t="n">
        <v>4</v>
      </c>
      <c r="C114" s="26" t="str">
        <f aca="false">'PRMS EM CAMPO GRANDE'!C114</f>
        <v>Custo de Reposição do Profissional Ausente/Intrajornada</v>
      </c>
      <c r="D114" s="26"/>
      <c r="E114" s="26"/>
      <c r="F114" s="109" t="n">
        <f aca="false">MOD_4_CUSTO_REPOSICAO_12X36_NOT</f>
        <v>604.863422055317</v>
      </c>
      <c r="G114" s="109" t="n">
        <f aca="false">G82+G87</f>
        <v>512.803000616521</v>
      </c>
      <c r="H114" s="109" t="n">
        <f aca="false">H82+H87</f>
        <v>610.712979948868</v>
      </c>
    </row>
    <row r="115" customFormat="false" ht="16.5" hidden="false" customHeight="true" outlineLevel="0" collapsed="false">
      <c r="A115" s="87"/>
      <c r="B115" s="22" t="n">
        <v>5</v>
      </c>
      <c r="C115" s="69" t="s">
        <v>110</v>
      </c>
      <c r="D115" s="69"/>
      <c r="E115" s="69"/>
      <c r="F115" s="107" t="n">
        <f aca="false">MOD_5_INSUMOS_12X36_NOT</f>
        <v>96.1599520833333</v>
      </c>
      <c r="G115" s="107" t="n">
        <f aca="false">G96</f>
        <v>90.41154375</v>
      </c>
      <c r="H115" s="107" t="n">
        <f aca="false">H96</f>
        <v>160.039958333333</v>
      </c>
    </row>
    <row r="116" customFormat="false" ht="16.5" hidden="false" customHeight="true" outlineLevel="0" collapsed="false">
      <c r="A116" s="87"/>
      <c r="B116" s="22" t="n">
        <v>6</v>
      </c>
      <c r="C116" s="26" t="s">
        <v>114</v>
      </c>
      <c r="D116" s="26"/>
      <c r="E116" s="26"/>
      <c r="F116" s="109" t="n">
        <f aca="false">MOD_6_CUSTOS_IND_LUCRO_TRIB_12X36_NOT</f>
        <v>913.821227337763</v>
      </c>
      <c r="G116" s="109" t="n">
        <f aca="false">G107</f>
        <v>781.686414164396</v>
      </c>
      <c r="H116" s="109" t="n">
        <f aca="false">H107</f>
        <v>849.156877873593</v>
      </c>
    </row>
    <row r="117" customFormat="false" ht="16.5" hidden="false" customHeight="true" outlineLevel="0" collapsed="false">
      <c r="B117" s="62" t="s">
        <v>229</v>
      </c>
      <c r="C117" s="62"/>
      <c r="D117" s="62"/>
      <c r="E117" s="62"/>
      <c r="F117" s="166" t="n">
        <f aca="false">SUM(F111:F116)</f>
        <v>5258.36984496053</v>
      </c>
      <c r="G117" s="166" t="n">
        <f aca="false">SUM(G111:G116)</f>
        <v>4498.03106503907</v>
      </c>
      <c r="H117" s="166" t="n">
        <f aca="false">SUM(H111:H116)</f>
        <v>4886.27401801527</v>
      </c>
    </row>
    <row r="118" customFormat="false" ht="16.5" hidden="false" customHeight="true" outlineLevel="0" collapsed="false">
      <c r="B118" s="62" t="s">
        <v>230</v>
      </c>
      <c r="C118" s="62"/>
      <c r="D118" s="62"/>
      <c r="E118" s="62"/>
      <c r="F118" s="166" t="n">
        <f aca="false">VALOR_TOTAL_EMPREGADO_12x36_NOT*EMPREG_POR_POSTO_12X36_NOT</f>
        <v>10516.7396899211</v>
      </c>
      <c r="G118" s="166" t="n">
        <f aca="false">G117*G21</f>
        <v>8996.06213007814</v>
      </c>
      <c r="H118" s="166" t="n">
        <f aca="false">H117*H21</f>
        <v>4886.27401801527</v>
      </c>
    </row>
  </sheetData>
  <mergeCells count="119">
    <mergeCell ref="B1:H1"/>
    <mergeCell ref="B2:D2"/>
    <mergeCell ref="F2:H2"/>
    <mergeCell ref="B3:H3"/>
    <mergeCell ref="B4:H4"/>
    <mergeCell ref="B5:C5"/>
    <mergeCell ref="D5:H5"/>
    <mergeCell ref="B6:C6"/>
    <mergeCell ref="D6:E6"/>
    <mergeCell ref="F6:H6"/>
    <mergeCell ref="B7:F7"/>
    <mergeCell ref="C8:E8"/>
    <mergeCell ref="F8:H8"/>
    <mergeCell ref="D9:H9"/>
    <mergeCell ref="C10:E10"/>
    <mergeCell ref="F10:H10"/>
    <mergeCell ref="C11:E11"/>
    <mergeCell ref="F11:H11"/>
    <mergeCell ref="C12:E12"/>
    <mergeCell ref="F12:H12"/>
    <mergeCell ref="B13:H13"/>
    <mergeCell ref="C14:D14"/>
    <mergeCell ref="E14:H14"/>
    <mergeCell ref="D15:H15"/>
    <mergeCell ref="D16:H16"/>
    <mergeCell ref="C17:E17"/>
    <mergeCell ref="F17:H17"/>
    <mergeCell ref="B18:H18"/>
    <mergeCell ref="B19:H19"/>
    <mergeCell ref="B20:E20"/>
    <mergeCell ref="B21:E21"/>
    <mergeCell ref="B23:B24"/>
    <mergeCell ref="C23:E24"/>
    <mergeCell ref="C25:E25"/>
    <mergeCell ref="C26:E26"/>
    <mergeCell ref="C27:E27"/>
    <mergeCell ref="C28:E28"/>
    <mergeCell ref="C29:E29"/>
    <mergeCell ref="C30:E30"/>
    <mergeCell ref="C31:E31"/>
    <mergeCell ref="B32:E32"/>
    <mergeCell ref="B35:B36"/>
    <mergeCell ref="C35:D36"/>
    <mergeCell ref="E35:E36"/>
    <mergeCell ref="C37:D37"/>
    <mergeCell ref="C38:D38"/>
    <mergeCell ref="B39:E39"/>
    <mergeCell ref="B40:F40"/>
    <mergeCell ref="B41:B42"/>
    <mergeCell ref="C41:D42"/>
    <mergeCell ref="E41:E42"/>
    <mergeCell ref="C43:D43"/>
    <mergeCell ref="C44:D44"/>
    <mergeCell ref="C45:D45"/>
    <mergeCell ref="C46:D46"/>
    <mergeCell ref="C47:D47"/>
    <mergeCell ref="C48:D48"/>
    <mergeCell ref="C49:D49"/>
    <mergeCell ref="C50:D50"/>
    <mergeCell ref="B51:E51"/>
    <mergeCell ref="B53:B54"/>
    <mergeCell ref="C53:E54"/>
    <mergeCell ref="C55:E55"/>
    <mergeCell ref="C56:E56"/>
    <mergeCell ref="C57:E57"/>
    <mergeCell ref="C58:E58"/>
    <mergeCell ref="C59:E59"/>
    <mergeCell ref="B60:E60"/>
    <mergeCell ref="B62:B63"/>
    <mergeCell ref="C62:D63"/>
    <mergeCell ref="E62:E63"/>
    <mergeCell ref="C64:D64"/>
    <mergeCell ref="C65:D65"/>
    <mergeCell ref="C66:D66"/>
    <mergeCell ref="C67:D67"/>
    <mergeCell ref="C68:D68"/>
    <mergeCell ref="C69:D69"/>
    <mergeCell ref="B70:E70"/>
    <mergeCell ref="B74:B75"/>
    <mergeCell ref="C74:D75"/>
    <mergeCell ref="E74:E75"/>
    <mergeCell ref="C76:D76"/>
    <mergeCell ref="C77:D77"/>
    <mergeCell ref="C78:D78"/>
    <mergeCell ref="C79:D79"/>
    <mergeCell ref="C80:D80"/>
    <mergeCell ref="C81:D81"/>
    <mergeCell ref="B82:E82"/>
    <mergeCell ref="B84:B85"/>
    <mergeCell ref="C84:E85"/>
    <mergeCell ref="C86:E86"/>
    <mergeCell ref="B87:E87"/>
    <mergeCell ref="C90:E91"/>
    <mergeCell ref="C92:E92"/>
    <mergeCell ref="C93:E93"/>
    <mergeCell ref="C94:E94"/>
    <mergeCell ref="C95:E95"/>
    <mergeCell ref="B96:E96"/>
    <mergeCell ref="B98:F98"/>
    <mergeCell ref="B99:B100"/>
    <mergeCell ref="C99:D100"/>
    <mergeCell ref="E99:E100"/>
    <mergeCell ref="C101:D101"/>
    <mergeCell ref="C102:D102"/>
    <mergeCell ref="C103:D103"/>
    <mergeCell ref="C104:D104"/>
    <mergeCell ref="C105:D105"/>
    <mergeCell ref="C106:D106"/>
    <mergeCell ref="B107:E107"/>
    <mergeCell ref="B109:B110"/>
    <mergeCell ref="C109:E110"/>
    <mergeCell ref="C111:E111"/>
    <mergeCell ref="C112:E112"/>
    <mergeCell ref="C113:E113"/>
    <mergeCell ref="C114:E114"/>
    <mergeCell ref="C115:E115"/>
    <mergeCell ref="C116:E116"/>
    <mergeCell ref="B117:E117"/>
    <mergeCell ref="B118:E118"/>
  </mergeCells>
  <printOptions headings="false" gridLines="false" gridLinesSet="true" horizontalCentered="true" verticalCentered="false"/>
  <pageMargins left="0.0798611111111111" right="0.05" top="0.196527777777778" bottom="0.157638888888889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K1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15" activeCellId="0" sqref="B15"/>
    </sheetView>
  </sheetViews>
  <sheetFormatPr defaultRowHeight="12.8" outlineLevelRow="0" outlineLevelCol="0"/>
  <cols>
    <col collapsed="false" customWidth="true" hidden="false" outlineLevel="0" max="1" min="1" style="0" width="3.52"/>
    <col collapsed="false" customWidth="true" hidden="false" outlineLevel="0" max="2" min="2" style="0" width="9.86"/>
    <col collapsed="false" customWidth="true" hidden="false" outlineLevel="0" max="3" min="3" style="0" width="38.9"/>
    <col collapsed="false" customWidth="true" hidden="false" outlineLevel="0" max="4" min="4" style="0" width="35.7"/>
    <col collapsed="false" customWidth="true" hidden="false" outlineLevel="0" max="5" min="5" style="0" width="15.74"/>
    <col collapsed="false" customWidth="true" hidden="false" outlineLevel="0" max="6" min="6" style="0" width="12.64"/>
    <col collapsed="false" customWidth="true" hidden="false" outlineLevel="0" max="7" min="7" style="0" width="16.39"/>
    <col collapsed="false" customWidth="true" hidden="false" outlineLevel="0" max="1025" min="8" style="0" width="11.61"/>
  </cols>
  <sheetData>
    <row r="1" customFormat="false" ht="15.65" hidden="false" customHeight="true" outlineLevel="0" collapsed="false">
      <c r="B1" s="174" t="s">
        <v>241</v>
      </c>
      <c r="C1" s="174"/>
      <c r="D1" s="174"/>
      <c r="E1" s="174"/>
      <c r="F1" s="174"/>
      <c r="G1" s="174"/>
    </row>
    <row r="2" customFormat="false" ht="17" hidden="false" customHeight="true" outlineLevel="0" collapsed="false">
      <c r="B2" s="175" t="s">
        <v>242</v>
      </c>
      <c r="C2" s="175"/>
      <c r="D2" s="175"/>
      <c r="E2" s="175"/>
      <c r="F2" s="175"/>
      <c r="G2" s="175"/>
    </row>
    <row r="3" customFormat="false" ht="42.4" hidden="false" customHeight="true" outlineLevel="0" collapsed="false">
      <c r="B3" s="176" t="s">
        <v>243</v>
      </c>
      <c r="C3" s="176" t="s">
        <v>244</v>
      </c>
      <c r="D3" s="176" t="s">
        <v>245</v>
      </c>
      <c r="E3" s="176" t="s">
        <v>246</v>
      </c>
      <c r="F3" s="176" t="s">
        <v>247</v>
      </c>
      <c r="G3" s="176" t="s">
        <v>248</v>
      </c>
      <c r="H3" s="177" t="s">
        <v>249</v>
      </c>
      <c r="I3" s="177"/>
      <c r="J3" s="177"/>
      <c r="K3" s="177"/>
    </row>
    <row r="4" customFormat="false" ht="17" hidden="false" customHeight="true" outlineLevel="0" collapsed="false">
      <c r="B4" s="176"/>
      <c r="C4" s="176"/>
      <c r="D4" s="176"/>
      <c r="E4" s="176" t="s">
        <v>250</v>
      </c>
      <c r="F4" s="176" t="s">
        <v>251</v>
      </c>
      <c r="G4" s="176" t="s">
        <v>252</v>
      </c>
    </row>
    <row r="5" customFormat="false" ht="17" hidden="false" customHeight="true" outlineLevel="0" collapsed="false">
      <c r="B5" s="178" t="n">
        <v>1</v>
      </c>
      <c r="C5" s="179" t="s">
        <v>253</v>
      </c>
      <c r="D5" s="179" t="s">
        <v>254</v>
      </c>
      <c r="E5" s="178" t="n">
        <v>4</v>
      </c>
      <c r="F5" s="180" t="n">
        <v>61.52</v>
      </c>
      <c r="G5" s="181" t="n">
        <f aca="false">E5*F5</f>
        <v>246.08</v>
      </c>
    </row>
    <row r="6" customFormat="false" ht="17" hidden="false" customHeight="true" outlineLevel="0" collapsed="false">
      <c r="B6" s="182" t="n">
        <v>2</v>
      </c>
      <c r="C6" s="183" t="s">
        <v>255</v>
      </c>
      <c r="D6" s="183" t="s">
        <v>254</v>
      </c>
      <c r="E6" s="182" t="n">
        <v>4</v>
      </c>
      <c r="F6" s="180" t="n">
        <v>51.29</v>
      </c>
      <c r="G6" s="184" t="n">
        <f aca="false">E6*F6</f>
        <v>205.16</v>
      </c>
    </row>
    <row r="7" customFormat="false" ht="17" hidden="false" customHeight="true" outlineLevel="0" collapsed="false">
      <c r="B7" s="178" t="n">
        <v>3</v>
      </c>
      <c r="C7" s="179" t="s">
        <v>256</v>
      </c>
      <c r="D7" s="179" t="s">
        <v>257</v>
      </c>
      <c r="E7" s="178" t="n">
        <v>2</v>
      </c>
      <c r="F7" s="180" t="n">
        <v>21.39</v>
      </c>
      <c r="G7" s="181" t="n">
        <f aca="false">E7*F7</f>
        <v>42.78</v>
      </c>
    </row>
    <row r="8" customFormat="false" ht="17" hidden="false" customHeight="true" outlineLevel="0" collapsed="false">
      <c r="B8" s="182" t="n">
        <v>4</v>
      </c>
      <c r="C8" s="183" t="s">
        <v>258</v>
      </c>
      <c r="D8" s="183" t="s">
        <v>259</v>
      </c>
      <c r="E8" s="182" t="n">
        <v>2</v>
      </c>
      <c r="F8" s="180" t="n">
        <v>67.46</v>
      </c>
      <c r="G8" s="184" t="n">
        <f aca="false">E8*F8</f>
        <v>134.92</v>
      </c>
    </row>
    <row r="9" customFormat="false" ht="17" hidden="false" customHeight="true" outlineLevel="0" collapsed="false">
      <c r="B9" s="178" t="n">
        <v>5</v>
      </c>
      <c r="C9" s="179" t="s">
        <v>260</v>
      </c>
      <c r="D9" s="179" t="s">
        <v>261</v>
      </c>
      <c r="E9" s="178" t="n">
        <v>4</v>
      </c>
      <c r="F9" s="180" t="n">
        <v>9.35</v>
      </c>
      <c r="G9" s="181" t="n">
        <f aca="false">E9*F9</f>
        <v>37.4</v>
      </c>
    </row>
    <row r="10" customFormat="false" ht="17" hidden="false" customHeight="true" outlineLevel="0" collapsed="false">
      <c r="B10" s="182" t="n">
        <v>6</v>
      </c>
      <c r="C10" s="183" t="s">
        <v>262</v>
      </c>
      <c r="D10" s="183"/>
      <c r="E10" s="182" t="n">
        <v>2</v>
      </c>
      <c r="F10" s="180"/>
      <c r="G10" s="184" t="n">
        <f aca="false">E10*F10</f>
        <v>0</v>
      </c>
    </row>
    <row r="11" customFormat="false" ht="17" hidden="false" customHeight="true" outlineLevel="0" collapsed="false">
      <c r="B11" s="178" t="n">
        <v>7</v>
      </c>
      <c r="C11" s="185" t="s">
        <v>263</v>
      </c>
      <c r="D11" s="186"/>
      <c r="E11" s="178" t="n">
        <v>1</v>
      </c>
      <c r="F11" s="180" t="n">
        <v>45.65</v>
      </c>
      <c r="G11" s="181" t="n">
        <f aca="false">E11*F11</f>
        <v>45.65</v>
      </c>
    </row>
    <row r="12" customFormat="false" ht="17" hidden="false" customHeight="true" outlineLevel="0" collapsed="false">
      <c r="B12" s="182" t="n">
        <v>8</v>
      </c>
      <c r="C12" s="187" t="s">
        <v>264</v>
      </c>
      <c r="D12" s="188"/>
      <c r="E12" s="182" t="n">
        <v>1</v>
      </c>
      <c r="F12" s="180" t="n">
        <v>38</v>
      </c>
      <c r="G12" s="184" t="n">
        <f aca="false">E12*F12</f>
        <v>38</v>
      </c>
    </row>
    <row r="13" customFormat="false" ht="17" hidden="false" customHeight="true" outlineLevel="0" collapsed="false">
      <c r="B13" s="178" t="n">
        <v>9</v>
      </c>
      <c r="C13" s="179" t="s">
        <v>265</v>
      </c>
      <c r="D13" s="179"/>
      <c r="E13" s="178" t="n">
        <v>1</v>
      </c>
      <c r="F13" s="180" t="n">
        <v>88</v>
      </c>
      <c r="G13" s="181" t="n">
        <f aca="false">E13*F13</f>
        <v>88</v>
      </c>
    </row>
    <row r="14" customFormat="false" ht="17" hidden="false" customHeight="true" outlineLevel="0" collapsed="false">
      <c r="B14" s="182" t="n">
        <v>10</v>
      </c>
      <c r="C14" s="183" t="s">
        <v>266</v>
      </c>
      <c r="D14" s="183" t="s">
        <v>267</v>
      </c>
      <c r="E14" s="182" t="n">
        <v>1</v>
      </c>
      <c r="F14" s="180" t="n">
        <v>27.03</v>
      </c>
      <c r="G14" s="184" t="n">
        <f aca="false">E14*F14</f>
        <v>27.03</v>
      </c>
    </row>
    <row r="15" customFormat="false" ht="17" hidden="false" customHeight="true" outlineLevel="0" collapsed="false">
      <c r="B15" s="189" t="s">
        <v>268</v>
      </c>
      <c r="C15" s="189"/>
      <c r="D15" s="189"/>
      <c r="E15" s="189"/>
      <c r="F15" s="189"/>
      <c r="G15" s="190" t="n">
        <f aca="false">SUM(G5:G14)</f>
        <v>865.02</v>
      </c>
    </row>
    <row r="16" customFormat="false" ht="17" hidden="false" customHeight="true" outlineLevel="0" collapsed="false">
      <c r="B16" s="191" t="s">
        <v>269</v>
      </c>
      <c r="C16" s="191"/>
      <c r="D16" s="191"/>
      <c r="E16" s="191"/>
      <c r="F16" s="191"/>
      <c r="G16" s="192" t="n">
        <f aca="false">G15/12</f>
        <v>72.085</v>
      </c>
    </row>
  </sheetData>
  <mergeCells count="8">
    <mergeCell ref="B1:G1"/>
    <mergeCell ref="B2:G2"/>
    <mergeCell ref="B3:B4"/>
    <mergeCell ref="C3:C4"/>
    <mergeCell ref="D3:D4"/>
    <mergeCell ref="H3:K3"/>
    <mergeCell ref="B15:F15"/>
    <mergeCell ref="B16:F1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5585</TotalTime>
  <Application>LibreOffice/5.2.7.2$Windows_x86 LibreOffice_project/2b7f1e640c46ceb28adf43ee075a6e8b8439ed10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2014-02-07T18:14:59Z</dcterms:created>
  <dc:creator>André Felipe Flores da Silva</dc:creator>
  <dc:description/>
  <dc:language>pt-BR</dc:language>
  <cp:lastModifiedBy/>
  <cp:lastPrinted>2020-03-20T18:15:53Z</cp:lastPrinted>
  <dcterms:modified xsi:type="dcterms:W3CDTF">2020-04-06T08:09:27Z</dcterms:modified>
  <cp:revision>181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