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5.xml.rels" ContentType="application/vnd.openxmlformats-package.relationships+xml"/>
  <Override PartName="/xl/worksheets/_rels/sheet7.xml.rels" ContentType="application/vnd.openxmlformats-package.relationships+xml"/>
  <Override PartName="/xl/worksheets/_rels/sheet17.xml.rels" ContentType="application/vnd.openxmlformats-package.relationships+xml"/>
  <Override PartName="/xl/worksheets/_rels/sheet9.xml.rels" ContentType="application/vnd.openxmlformats-package.relationships+xml"/>
  <Override PartName="/xl/worksheets/_rels/sheet11.xml.rels" ContentType="application/vnd.openxmlformats-package.relationships+xml"/>
  <Override PartName="/xl/worksheets/_rels/sheet13.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ERÇÃO-DE-DADOS_MÃO DE OBRA" sheetId="1" state="visible" r:id="rId2"/>
    <sheet name="INSERÇÃO-DE-DADOS_PRODUTIVIDADE" sheetId="2" state="visible" r:id="rId3"/>
    <sheet name="DADOS-ESTATISTICOS" sheetId="3" state="visible" r:id="rId4"/>
    <sheet name="ENCARGOS-SOCIAIS-E-TRABALHISTAS" sheetId="4" state="visible" r:id="rId5"/>
    <sheet name="ENCARREGADO" sheetId="5" state="visible" r:id="rId6"/>
    <sheet name="SERVENTE CG" sheetId="6" state="visible" r:id="rId7"/>
    <sheet name="CUSTO M² CG" sheetId="7" state="visible" r:id="rId8"/>
    <sheet name="SERVENTE DOU" sheetId="8" state="visible" r:id="rId9"/>
    <sheet name="CUSTO M² DOU" sheetId="9" state="visible" r:id="rId10"/>
    <sheet name="SERVENTE TL" sheetId="10" state="visible" r:id="rId11"/>
    <sheet name="CUSTO M² TL" sheetId="11" state="visible" r:id="rId12"/>
    <sheet name="SERVENTE COR" sheetId="12" state="visible" r:id="rId13"/>
    <sheet name="CUSTO M² COR" sheetId="13" state="visible" r:id="rId14"/>
    <sheet name="SERVENTE PP" sheetId="14" state="visible" r:id="rId15"/>
    <sheet name="CUSTO M² PP" sheetId="15" state="visible" r:id="rId16"/>
    <sheet name="SERVENTE NAV" sheetId="16" state="visible" r:id="rId17"/>
    <sheet name="CUSTO M² NAV" sheetId="17" state="visible" r:id="rId18"/>
    <sheet name="UNIFORMES" sheetId="18" state="visible" r:id="rId19"/>
    <sheet name="MATERIAIS E EQUIPAMENTOS" sheetId="19" state="visible" r:id="rId20"/>
    <sheet name="QUADRO-RESUMO" sheetId="20" state="visible" r:id="rId21"/>
    <sheet name="LIMITES-SEGES-PORT-7-2015" sheetId="21" state="hidden" r:id="rId22"/>
    <sheet name="LIMITES-SEGES-PORT-213-2017" sheetId="22" state="hidden" r:id="rId23"/>
    <sheet name="QTDE-ESTIMADA-SERVENTES" sheetId="23" state="visible" r:id="rId24"/>
  </sheets>
  <definedNames>
    <definedName function="false" hidden="false" name="ACORDO_COLETIVO" vbProcedure="false">'INSERÇÃO-DE-DADOS_MÃO DE OBRA'!$F$14</definedName>
    <definedName function="false" hidden="false" name="ADIC_INSALUB_ENC" vbProcedure="false">'INSERÇÃO-DE-DADOS_MÃO DE OBRA'!$D$19</definedName>
    <definedName function="false" hidden="false" name="ADIC_INSALUB_SERV" vbProcedure="false">'INSERÇÃO-DE-DADOS_MÃO DE OBRA'!$D$20</definedName>
    <definedName function="false" hidden="false" name="ADIC_INSALUB_SERV_HOSP" vbProcedure="false">'INSERÇÃO-DE-DADOS_MÃO DE OBRA'!$D$21</definedName>
    <definedName function="false" hidden="false" name="ALIMENTACAO_POR_DIA" vbProcedure="false">'INSERÇÃO-DE-DADOS_MÃO DE OBRA'!$F$47</definedName>
    <definedName function="false" hidden="false" name="AL_1_C_OUTROS_REM_1_SERV" vbProcedure="false">'SERVENTE CG'!$F$23</definedName>
    <definedName function="false" hidden="false" name="AL_1_D_OUTROS_REM_2_ENC" vbProcedure="false">ENCARREGADO!$F$24</definedName>
    <definedName function="false" hidden="false" name="AL_1_D_OUTROS_REM_2_SERV" vbProcedure="false">'SERVENTE CG'!$F$24</definedName>
    <definedName function="false" hidden="false" name="AL_1_E_OUTROS_REM_3_SERV" vbProcedure="false">'SERVENTE CG'!$F$25</definedName>
    <definedName function="false" hidden="false" name="AREA_ESQ_EXTERNA_ANEXOS" vbProcedure="false">'INSERÇÃO-DE-DADOS_MÃO DE OBRA'!$K$11</definedName>
    <definedName function="false" hidden="false" name="AREA_ESQ_EXTERNA_PTMS_PRMS" vbProcedure="false">'INSERÇÃO-DE-DADOS_MÃO DE OBRA'!$L$11</definedName>
    <definedName function="false" hidden="false" name="AREA_ESQ_EXTERNA_SEDE" vbProcedure="false">'INSERÇÃO-DE-DADOS_MÃO DE OBRA'!$J$11</definedName>
    <definedName function="false" hidden="false" name="AREA_ESQ_EXTERNA_TOTAL" vbProcedure="false">#REF!</definedName>
    <definedName function="false" hidden="false" name="AREA_EXTERNA_ANEXOS" vbProcedure="false">'INSERÇÃO-DE-DADOS_MÃO DE OBRA'!$K$10</definedName>
    <definedName function="false" hidden="false" name="AREA_EXTERNA_PTMS_PRMS" vbProcedure="false">'INSERÇÃO-DE-DADOS_MÃO DE OBRA'!$L$10</definedName>
    <definedName function="false" hidden="false" name="AREA_EXTERNA_SEDE" vbProcedure="false">'INSERÇÃO-DE-DADOS_MÃO DE OBRA'!$J$10</definedName>
    <definedName function="false" hidden="false" name="AREA_EXTERNA_TOTAL" vbProcedure="false">#REF!</definedName>
    <definedName function="false" hidden="false" name="AREA_FACHADA_ENVID_ANEXOS" vbProcedure="false">'INSERÇÃO-DE-DADOS_MÃO DE OBRA'!$K$12</definedName>
    <definedName function="false" hidden="false" name="AREA_FACHADA_ENVID_PTMS_PRMS" vbProcedure="false">'INSERÇÃO-DE-DADOS_MÃO DE OBRA'!$L$12</definedName>
    <definedName function="false" hidden="false" name="AREA_FACHADA_ENVID_SEDE" vbProcedure="false">'INSERÇÃO-DE-DADOS_MÃO DE OBRA'!$J$12</definedName>
    <definedName function="false" hidden="false" name="AREA_FACHADA_ENVID_TOTAL" vbProcedure="false">#REF!</definedName>
    <definedName function="false" hidden="false" name="AREA_INTERNA_ANEXOS" vbProcedure="false">'INSERÇÃO-DE-DADOS_MÃO DE OBRA'!$K$8</definedName>
    <definedName function="false" hidden="false" name="AREA_INTERNA_PTMS_PRMS" vbProcedure="false">'INSERÇÃO-DE-DADOS_MÃO DE OBRA'!$L$8</definedName>
    <definedName function="false" hidden="false" name="AREA_INTERNA_SEDE" vbProcedure="false">'INSERÇÃO-DE-DADOS_MÃO DE OBRA'!$J$8</definedName>
    <definedName function="false" hidden="false" name="AREA_INTERNA_TOTAL" vbProcedure="false">#REF!</definedName>
    <definedName function="false" hidden="false" name="AREA_MED_HOSP_ANEXOS" vbProcedure="false">'INSERÇÃO-DE-DADOS_MÃO DE OBRA'!$K$13</definedName>
    <definedName function="false" hidden="false" name="AREA_MED_HOSP_PTMS_PRMS" vbProcedure="false">'INSERÇÃO-DE-DADOS_MÃO DE OBRA'!$L$13</definedName>
    <definedName function="false" hidden="false" name="AREA_MED_HOSP_SEDE" vbProcedure="false">'INSERÇÃO-DE-DADOS_MÃO DE OBRA'!$J$13</definedName>
    <definedName function="false" hidden="false" name="AREA_MED_HOSP_TOTAL" vbProcedure="false">#REF!</definedName>
    <definedName function="false" hidden="false" name="CARGA_HORARIA_SEMANAL" vbProcedure="false">'DADOS-ESTATISTICOS'!$F$11</definedName>
    <definedName function="false" hidden="false" name="CATEGORIA_PROFISSIONAL_ENC" vbProcedure="false">'INSERÇÃO-DE-DADOS_MÃO DE OBRA'!$C$19</definedName>
    <definedName function="false" hidden="false" name="CATEGORIA_PROFISSIONAL_SERV" vbProcedure="false">'INSERÇÃO-DE-DADOS_MÃO DE OBRA'!$C$20</definedName>
    <definedName function="false" hidden="false" name="CATEGORIA_PROFISSIONAL_SERV_HOSP" vbProcedure="false">'INSERÇÃO-DE-DADOS_MÃO DE OBRA'!$C$21</definedName>
    <definedName function="false" hidden="false" name="CBO" vbProcedure="false">'INSERÇÃO-DE-DADOS_MÃO DE OBRA'!$D$25</definedName>
    <definedName function="false" hidden="false" name="COEF_KI_ESQ_EXTERNA_ENC" vbProcedure="false">'CUSTO M² CG'!$G$41</definedName>
    <definedName function="false" hidden="false" name="COEF_KI_ESQ_EXTERNA_SERV" vbProcedure="false">'CUSTO M² CG'!$G$43</definedName>
    <definedName function="false" hidden="false" name="COEF_KI_FACHADA_ENVID_ENC" vbProcedure="false">#REF!</definedName>
    <definedName function="false" hidden="false" name="COEF_KI_FACHADA_ENVID_SERV" vbProcedure="false">#REF!</definedName>
    <definedName function="false" hidden="false" name="CUSTO_M2_AREA_EXTERNA" vbProcedure="false">#REF!</definedName>
    <definedName function="false" hidden="false" name="CUSTO_M2_AREA_EXTERNA_ENC" vbProcedure="false">'CUSTO M² CG'!$F$26</definedName>
    <definedName function="false" hidden="false" name="CUSTO_M2_AREA_EXTERNA_SERV" vbProcedure="false">#REF!</definedName>
    <definedName function="false" hidden="false" name="CUSTO_M2_AREA_HOSPITALAR_ENC" vbProcedure="false">#REF!</definedName>
    <definedName function="false" hidden="false" name="CUSTO_M2_AREA_HOSPITALAR_SERV" vbProcedure="false">#REF!</definedName>
    <definedName function="false" hidden="false" name="CUSTO_M2_AREA_INTERNA" vbProcedure="false">'CUSTO M² CG'!$F$20</definedName>
    <definedName function="false" hidden="false" name="CUSTO_M2_AREA_INTERNA_ENC" vbProcedure="false">'CUSTO M² CG'!$F$12</definedName>
    <definedName function="false" hidden="false" name="CUSTO_M2_AREA_INTERNA_SERV" vbProcedure="false">#REF!</definedName>
    <definedName function="false" hidden="false" name="CUSTO_M2_AREA_MED_HOSP" vbProcedure="false">#REF!</definedName>
    <definedName function="false" hidden="false" name="CUSTO_M2_ESQ_EXTERNA" vbProcedure="false">'CUSTO M² CG'!$I$45</definedName>
    <definedName function="false" hidden="false" name="CUSTO_M2_ESQ_EXTERNA_ENC" vbProcedure="false">'CUSTO M² CG'!$I$41</definedName>
    <definedName function="false" hidden="false" name="CUSTO_M2_ESQ_EXTERNA_SERV" vbProcedure="false">'CUSTO M² CG'!$I$43</definedName>
    <definedName function="false" hidden="false" name="CUSTO_M2_FACHADA_ENVID" vbProcedure="false">#REF!</definedName>
    <definedName function="false" hidden="false" name="CUSTO_M2_FACHADA_ENVID_ENC" vbProcedure="false">#REF!</definedName>
    <definedName function="false" hidden="false" name="CUSTO_M2_FACHADA_ENVID_SERV" vbProcedure="false">#REF!</definedName>
    <definedName function="false" hidden="false" name="DATA_APRESENTACAO_PROPOSTA" vbProcedure="false">'INSERÇÃO-DE-DADOS_MÃO DE OBRA'!$F$11</definedName>
    <definedName function="false" hidden="false" name="DATA_BASE_CATEGORIA" vbProcedure="false">'INSERÇÃO-DE-DADOS_MÃO DE OBRA'!$F$26</definedName>
    <definedName function="false" hidden="false" name="DATA_DO_ORCAMENTO_ESTIMATIVO" vbProcedure="false">'INSERÇÃO-DE-DADOS_MÃO DE OBRA'!$F$2</definedName>
    <definedName function="false" hidden="false" name="DATA_LICITACAO" vbProcedure="false">'INSERÇÃO-DE-DADOS_MÃO DE OBRA'!$D$7</definedName>
    <definedName function="false" hidden="false" name="DIAS_AUSENCIAS_LEGAIS" vbProcedure="false">'DADOS-ESTATISTICOS'!$F$30</definedName>
    <definedName function="false" hidden="false" name="DIAS_LICENCA_MATERNIDADE" vbProcedure="false">'DADOS-ESTATISTICOS'!$F$36</definedName>
    <definedName function="false" hidden="false" name="DIAS_LICENCA_PATERNIDADE" vbProcedure="false">'DADOS-ESTATISTICOS'!$F$31</definedName>
    <definedName function="false" hidden="false" name="DIAS_NA_SEMANA" vbProcedure="false">'DADOS-ESTATISTICOS'!$F$5</definedName>
    <definedName function="false" hidden="false" name="DIAS_NO_ANO" vbProcedure="false">'DADOS-ESTATISTICOS'!$F$6</definedName>
    <definedName function="false" hidden="false" name="DIAS_NO_MES" vbProcedure="false">'DADOS-ESTATISTICOS'!$F$25</definedName>
    <definedName function="false" hidden="false" name="DIAS_PAGOS_EMPRESA_ACID_TRAB" vbProcedure="false">'DADOS-ESTATISTICOS'!$F$35</definedName>
    <definedName function="false" hidden="false" name="DIAS_TRABALHADOS_NO_MES" vbProcedure="false">'INSERÇÃO-DE-DADOS_MÃO DE OBRA'!$F$48</definedName>
    <definedName function="false" hidden="false" name="DIVISOR_DE_HORAS" vbProcedure="false">'DADOS-ESTATISTICOS'!$F$4</definedName>
    <definedName function="false" hidden="false" name="ENCARREGADO_DE_LIMPEZA" vbProcedure="false">'INSERÇÃO-DE-DADOS_MÃO DE OBRA'!$C$19</definedName>
    <definedName function="false" hidden="false" name="EQUIPAMENTOS" vbProcedure="false">#REF!</definedName>
    <definedName function="false" hidden="false" name="FREQ_ESQ_EXTERNA" vbProcedure="false">'INSERÇÃO-DE-DADOS_MÃO DE OBRA'!$Q$11</definedName>
    <definedName function="false" hidden="false" name="FREQ_FACHADA_ENVID" vbProcedure="false">'INSERÇÃO-DE-DADOS_MÃO DE OBRA'!$Q$12</definedName>
    <definedName function="false" hidden="false" name="HORARIO_LICITACAO" vbProcedure="false">'INSERÇÃO-DE-DADOS_MÃO DE OBRA'!$F$7</definedName>
    <definedName function="false" hidden="false" name="HORA_NORMAL" vbProcedure="false">'DADOS-ESTATISTICOS'!$F$10</definedName>
    <definedName function="false" hidden="false" name="JORNADA_MES_ESQ_EXTERNA_ENC" vbProcedure="false">'CUSTO M² CG'!$F$41</definedName>
    <definedName function="false" hidden="false" name="JORNADA_MES_ESQ_EXTERNA_SERV" vbProcedure="false">'CUSTO M² CG'!$F$43</definedName>
    <definedName function="false" hidden="false" name="JORNADA_MES_FACHADA_ENVID_ENC" vbProcedure="false">#REF!</definedName>
    <definedName function="false" hidden="false" name="JORNADA_MES_FACHADA_ENVID_SERV" vbProcedure="false">#REF!</definedName>
    <definedName function="false" hidden="false" name="LOCAL_DE_EXECUCAO" vbProcedure="false">'INSERÇÃO-DE-DADOS_MÃO DE OBRA'!$D$12</definedName>
    <definedName function="false" hidden="false" name="MATERIAIS" vbProcedure="false">#REF!</definedName>
    <definedName function="false" hidden="false" name="MEDIA_ANUAL_DIAS_TRABALHO_MES" vbProcedure="false">'DADOS-ESTATISTICOS'!$F$7</definedName>
    <definedName function="false" hidden="false" name="MESES_NO_ANO" vbProcedure="false">'DADOS-ESTATISTICOS'!$F$8</definedName>
    <definedName function="false" hidden="false" name="MESES_NO_SEMESTRE" vbProcedure="false">'DADOS-ESTATISTICOS'!$F$9</definedName>
    <definedName function="false" hidden="false" name="MODALIDADE_DE_LICITACAO" vbProcedure="false">'INSERÇÃO-DE-DADOS_MÃO DE OBRA'!$D$6</definedName>
    <definedName function="false" hidden="false" name="NUMERO_MESES_EXEC_CONTRATUAL" vbProcedure="false">'INSERÇÃO-DE-DADOS_MÃO DE OBRA'!$F$15</definedName>
    <definedName function="false" hidden="false" name="NUMERO_PREGAO" vbProcedure="false">'INSERÇÃO-DE-DADOS_MÃO DE OBRA'!$F$6</definedName>
    <definedName function="false" hidden="false" name="NUMERO_PROCESSO" vbProcedure="false">'INSERÇÃO-DE-DADOS_MÃO DE OBRA'!$D$5</definedName>
    <definedName function="false" hidden="false" name="OUTRAS_AUSENCIAS" vbProcedure="false">'ENCARGOS-SOCIAIS-E-TRABALHISTAS'!$E$34</definedName>
    <definedName function="false" hidden="false" name="OUTRAS_AUSENCIAS_DESCRICAO" vbProcedure="false">'INSERÇÃO-DE-DADOS_MÃO DE OBRA'!$C$56</definedName>
    <definedName function="false" hidden="false" name="OUTROS_BENEFICIOS_1" vbProcedure="false">'INSERÇÃO-DE-DADOS_MÃO DE OBRA'!$F$49</definedName>
    <definedName function="false" hidden="false" name="OUTROS_BENEFICIOS_1_DESCRICAO" vbProcedure="false">'INSERÇÃO-DE-DADOS_MÃO DE OBRA'!$C$49</definedName>
    <definedName function="false" hidden="false" name="OUTROS_BENEFICIOS_2" vbProcedure="false">'INSERÇÃO-DE-DADOS_MÃO DE OBRA'!$F$50</definedName>
    <definedName function="false" hidden="false" name="OUTROS_BENEFICIOS_2_DESCRICAO" vbProcedure="false">'INSERÇÃO-DE-DADOS_MÃO DE OBRA'!$C$50</definedName>
    <definedName function="false" hidden="false" name="OUTROS_BENEFICIOS_3" vbProcedure="false">'INSERÇÃO-DE-DADOS_MÃO DE OBRA'!$F$51</definedName>
    <definedName function="false" hidden="false" name="OUTROS_BENEFICIOS_3_DESCRICAO" vbProcedure="false">'INSERÇÃO-DE-DADOS_MÃO DE OBRA'!$C$51</definedName>
    <definedName function="false" hidden="false" name="OUTROS_INSUMOS" vbProcedure="false">#REF!</definedName>
    <definedName function="false" hidden="false" name="OUTROS_INSUMOS_DESCRICAO" vbProcedure="false">#REF!</definedName>
    <definedName function="false" hidden="false" name="OUTROS_REMUNERACAO_1" vbProcedure="false">'INSERÇÃO-DE-DADOS_MÃO DE OBRA'!$F$33</definedName>
    <definedName function="false" hidden="false" name="OUTROS_REMUNERACAO_1_DESCRICAO" vbProcedure="false">'INSERÇÃO-DE-DADOS_MÃO DE OBRA'!$C$33</definedName>
    <definedName function="false" hidden="false" name="OUTROS_REMUNERACAO_2" vbProcedure="false">'INSERÇÃO-DE-DADOS_MÃO DE OBRA'!$F$34</definedName>
    <definedName function="false" hidden="false" name="OUTROS_REMUNERACAO_2_DESCRICAO" vbProcedure="false">'INSERÇÃO-DE-DADOS_MÃO DE OBRA'!$C$34:$E$34</definedName>
    <definedName function="false" hidden="false" name="OUTROS_REMUNERACAO_3" vbProcedure="false">'INSERÇÃO-DE-DADOS_MÃO DE OBRA'!$F$35</definedName>
    <definedName function="false" hidden="false" name="OUTROS_REMUNERACAO_3_DESCRICAO" vbProcedure="false">'INSERÇÃO-DE-DADOS_MÃO DE OBRA'!$C$35:$E$35</definedName>
    <definedName function="false" hidden="false" name="PERC_ADIC_FERIAS" vbProcedure="false">'ENCARGOS-SOCIAIS-E-TRABALHISTAS'!$E$6</definedName>
    <definedName function="false" hidden="false" name="PERC_ADIC_INSALUB" vbProcedure="false">'INSERÇÃO-DE-DADOS_MÃO DE OBRA'!$F$32</definedName>
    <definedName function="false" hidden="false" name="PERC_AVISO_PREVIO_IND" vbProcedure="false">'ENCARGOS-SOCIAIS-E-TRABALHISTAS'!$E$20</definedName>
    <definedName function="false" hidden="false" name="PERC_AVISO_PREVIO_TRAB" vbProcedure="false">'ENCARGOS-SOCIAIS-E-TRABALHISTAS'!$E$23</definedName>
    <definedName function="false" hidden="false" name="PERC_COFINS" vbProcedure="false">'INSERÇÃO-DE-DADOS_MÃO DE OBRA'!$F$71</definedName>
    <definedName function="false" hidden="false" name="PERC_CONTRIB_SOCIAL" vbProcedure="false">'DADOS-ESTATISTICOS'!$F$23</definedName>
    <definedName function="false" hidden="false" name="PERC_CUSTOS_INDIRETOS" vbProcedure="false">'INSERÇÃO-DE-DADOS_MÃO DE OBRA'!$F$68</definedName>
    <definedName function="false" hidden="false" name="PERC_DEC_TERC" vbProcedure="false">'ENCARGOS-SOCIAIS-E-TRABALHISTAS'!$E$5</definedName>
    <definedName function="false" hidden="false" name="PERC_DESC_TRANSP_REMUNERACAO" vbProcedure="false">'DADOS-ESTATISTICOS'!$F$16</definedName>
    <definedName function="false" hidden="false" name="PERC_EMPREG_AFAST_TRAB" vbProcedure="false">'DADOS-ESTATISTICOS'!$F$34</definedName>
    <definedName function="false" hidden="false" name="PERC_EMPREG_AVISO_PREVIO_IND" vbProcedure="false">'DADOS-ESTATISTICOS'!$F$21</definedName>
    <definedName function="false" hidden="false" name="PERC_EMPREG_AVISO_PREVIO_TRAB" vbProcedure="false">'DADOS-ESTATISTICOS'!$F$24</definedName>
    <definedName function="false" hidden="false" name="PERC_EMPREG_DEMIT_SEM_JUSTA_CAUSA_TOTAL_DESLIG" vbProcedure="false">'DADOS-ESTATISTICOS'!$F$20</definedName>
    <definedName function="false" hidden="false" name="PERC_FGTS" vbProcedure="false">'ENCARGOS-SOCIAIS-E-TRABALHISTAS'!$E$16</definedName>
    <definedName function="false" hidden="false" name="PERC_FGTS_AVISO_PREV_IND" vbProcedure="false">'ENCARGOS-SOCIAIS-E-TRABALHISTAS'!$E$21</definedName>
    <definedName function="false" hidden="false" name="PERC_GPS_FGTS" vbProcedure="false">'ENCARGOS-SOCIAIS-E-TRABALHISTAS'!$E$17</definedName>
    <definedName function="false" hidden="false" name="PERC_GPS_FGTS_AVISO_PREVIO_TRAB" vbProcedure="false">'ENCARGOS-SOCIAIS-E-TRABALHISTAS'!$E$24</definedName>
    <definedName function="false" hidden="false" name="PERC_HORA_EXTRA" vbProcedure="false">'INSERÇÃO-DE-DADOS_MÃO DE OBRA'!$F$60</definedName>
    <definedName function="false" hidden="false" name="PERC_INCRA" vbProcedure="false">'ENCARGOS-SOCIAIS-E-TRABALHISTAS'!$E$15</definedName>
    <definedName function="false" hidden="false" name="PERC_INSS" vbProcedure="false">'ENCARGOS-SOCIAIS-E-TRABALHISTAS'!$E$9</definedName>
    <definedName function="false" hidden="false" name="PERC_ISS" vbProcedure="false">'INSERÇÃO-DE-DADOS_MÃO DE OBRA'!$F$72</definedName>
    <definedName function="false" hidden="false" name="PERC_LUCRO" vbProcedure="false">'INSERÇÃO-DE-DADOS_MÃO DE OBRA'!$F$69</definedName>
    <definedName function="false" hidden="false" name="PERC_MULTA_FGTS" vbProcedure="false">'DADOS-ESTATISTICOS'!$F$22</definedName>
    <definedName function="false" hidden="false" name="PERC_MULTA_FGTS_AV_PREV_IND" vbProcedure="false">'ENCARGOS-SOCIAIS-E-TRABALHISTAS'!$E$22</definedName>
    <definedName function="false" hidden="false" name="PERC_MULTA_FGTS_AV_PREV_TRAB" vbProcedure="false">'ENCARGOS-SOCIAIS-E-TRABALHISTAS'!$E$25</definedName>
    <definedName function="false" hidden="false" name="PERC_NASCIDOS_VIVOS_POPUL_FEM" vbProcedure="false">'DADOS-ESTATISTICOS'!$F$32</definedName>
    <definedName function="false" hidden="false" name="PERC_PARTIC_FEM_VIGIL" vbProcedure="false">'DADOS-ESTATISTICOS'!$F$37</definedName>
    <definedName function="false" hidden="false" name="PERC_PARTIC_MASC_VIGIL" vbProcedure="false">'DADOS-ESTATISTICOS'!$F$33</definedName>
    <definedName function="false" hidden="false" name="PERC_PIS" vbProcedure="false">'INSERÇÃO-DE-DADOS_MÃO DE OBRA'!$F$70</definedName>
    <definedName function="false" hidden="false" name="PERC_RAT" vbProcedure="false">'ENCARGOS-SOCIAIS-E-TRABALHISTAS'!$E$11</definedName>
    <definedName function="false" hidden="false" name="PERC_SAL_EDUCACAO" vbProcedure="false">'ENCARGOS-SOCIAIS-E-TRABALHISTAS'!$E$10</definedName>
    <definedName function="false" hidden="false" name="PERC_SEBRAE" vbProcedure="false">'ENCARGOS-SOCIAIS-E-TRABALHISTAS'!$E$14</definedName>
    <definedName function="false" hidden="false" name="PERC_SENAC" vbProcedure="false">'ENCARGOS-SOCIAIS-E-TRABALHISTAS'!$E$13</definedName>
    <definedName function="false" hidden="false" name="PERC_SESC" vbProcedure="false">'ENCARGOS-SOCIAIS-E-TRABALHISTAS'!$E$12</definedName>
    <definedName function="false" hidden="false" name="PERC_SUBSTITUTO_ACID_TRAB" vbProcedure="false">'ENCARGOS-SOCIAIS-E-TRABALHISTAS'!$E$32</definedName>
    <definedName function="false" hidden="false" name="PERC_SUBSTITUTO_AFAST_MATERN" vbProcedure="false">'ENCARGOS-SOCIAIS-E-TRABALHISTAS'!$E$33</definedName>
    <definedName function="false" hidden="false" name="PERC_SUBSTITUTO_AUSENCIAS_LEGAIS" vbProcedure="false">'ENCARGOS-SOCIAIS-E-TRABALHISTAS'!$E$30</definedName>
    <definedName function="false" hidden="false" name="PERC_SUBSTITUTO_FERIAS" vbProcedure="false">'ENCARGOS-SOCIAIS-E-TRABALHISTAS'!$E$29</definedName>
    <definedName function="false" hidden="false" name="PERC_SUBSTITUTO_LICENCA_PATERNIDADE" vbProcedure="false">'ENCARGOS-SOCIAIS-E-TRABALHISTAS'!$E$31</definedName>
    <definedName function="false" hidden="false" name="PERC_SUBSTITUTO_OUTRAS_AUSENCIAS" vbProcedure="false">'INSERÇÃO-DE-DADOS_MÃO DE OBRA'!$F$56</definedName>
    <definedName function="false" hidden="false" name="PORTARIA_LIMITES" vbProcedure="false">'INSERÇÃO-DE-DADOS_MÃO DE OBRA'!$Q$3</definedName>
    <definedName function="false" hidden="false" name="PRODUT_AREA_ESQ_EXTERNA" vbProcedure="false">'INSERÇÃO-DE-DADOS_MÃO DE OBRA'!$P$11</definedName>
    <definedName function="false" hidden="false" name="PRODUT_AREA_EXTERNA" vbProcedure="false">'INSERÇÃO-DE-DADOS_MÃO DE OBRA'!$P$10</definedName>
    <definedName function="false" hidden="false" name="PRODUT_AREA_FACHADA_ENVID" vbProcedure="false">'INSERÇÃO-DE-DADOS_MÃO DE OBRA'!$P$12</definedName>
    <definedName function="false" hidden="false" name="PRODUT_AREA_HOSPITALAR" vbProcedure="false">'INSERÇÃO-DE-DADOS_MÃO DE OBRA'!$P$13</definedName>
    <definedName function="false" hidden="false" name="PRODUT_AREA_INTERNA" vbProcedure="false">'INSERÇÃO-DE-DADOS_MÃO DE OBRA'!$P$8</definedName>
    <definedName function="false" hidden="false" name="QTDE_DE_ENC" vbProcedure="false">'INSERÇÃO-DE-DADOS_MÃO DE OBRA'!$E$19</definedName>
    <definedName function="false" hidden="false" name="QTDE_DE_SERV" vbProcedure="false">'INSERÇÃO-DE-DADOS_MÃO DE OBRA'!$E$20</definedName>
    <definedName function="false" hidden="false" name="QTDE_DE_SERV_HOSP" vbProcedure="false">'INSERÇÃO-DE-DADOS_MÃO DE OBRA'!$E$21</definedName>
    <definedName function="false" hidden="false" name="QTDE_ESTIMADA_SERVENTES" vbProcedure="false">'QTDE-ESTIMADA-SERVENTES'!$E$29</definedName>
    <definedName function="false" hidden="false" name="RAMO" vbProcedure="false">'INSERÇÃO-DE-DADOS_MÃO DE OBRA'!$B$1</definedName>
    <definedName function="false" hidden="false" name="RELACAO_SERVENTES_ENCARREGADOS" vbProcedure="false">'INSERÇÃO-DE-DADOS_MÃO DE OBRA'!$Q$14</definedName>
    <definedName function="false" hidden="false" name="SALARIO_NORMATIVO_ENC" vbProcedure="false">'INSERÇÃO-DE-DADOS_MÃO DE OBRA'!$F$19</definedName>
    <definedName function="false" hidden="false" name="SALARIO_NORMATIVO_SERV" vbProcedure="false">'INSERÇÃO-DE-DADOS_MÃO DE OBRA'!$F$20</definedName>
    <definedName function="false" hidden="false" name="SALARIO_NORMATIVO_SERV_HOSP" vbProcedure="false">'INSERÇÃO-DE-DADOS_MÃO DE OBRA'!$F$21</definedName>
    <definedName function="false" hidden="false" name="SAL_MINIMO" vbProcedure="false">'INSERÇÃO-DE-DADOS_MÃO DE OBRA'!$F$27</definedName>
    <definedName function="false" hidden="false" name="SERVENTE" vbProcedure="false">'INSERÇÃO-DE-DADOS_MÃO DE OBRA'!$C$20</definedName>
    <definedName function="false" hidden="false" name="SERVENTE_AREA_HOSPITALAR" vbProcedure="false">'INSERÇÃO-DE-DADOS_MÃO DE OBRA'!$C$21</definedName>
    <definedName function="false" hidden="false" name="TEMPO_INTERVALO_REFEICAO" vbProcedure="false">'INSERÇÃO-DE-DADOS_MÃO DE OBRA'!$F$61</definedName>
    <definedName function="false" hidden="false" name="TIPO_DE_SERVICO" vbProcedure="false">'INSERÇÃO-DE-DADOS_MÃO DE OBRA'!$E$24</definedName>
    <definedName function="false" hidden="false" name="TRANSPORTE_POR_DIA" vbProcedure="false">'INSERÇÃO-DE-DADOS_MÃO DE OBRA'!$F$40</definedName>
    <definedName function="false" hidden="false" name="UF" vbProcedure="false">'INSERÇÃO-DE-DADOS_MÃO DE OBRA'!$F$13</definedName>
    <definedName function="false" hidden="false" name="UG" vbProcedure="false">'INSERÇÃO-DE-DADOS_MÃO DE OBRA'!$B$2</definedName>
    <definedName function="false" hidden="false" name="UNIFORMES" vbProcedure="false">#REF!</definedName>
    <definedName function="false" hidden="false" name="VALOR_LIMITES_AREA_EXTERNA" vbProcedure="false">'CUSTO M² CG'!$H$57</definedName>
    <definedName function="false" hidden="false" name="VALOR_LIMITES_AREA_INTERNA" vbProcedure="false">'CUSTO M² CG'!$H$54</definedName>
    <definedName function="false" hidden="false" name="VALOR_LIMITES_ESQ_EXTERNA" vbProcedure="false">'CUSTO M² CG'!$H$60</definedName>
    <definedName function="false" hidden="false" name="VALOR_LIMITES_FACHADA_ENVID" vbProcedure="false">#REF!</definedName>
    <definedName function="false" hidden="false" name="VALOR_LIMITE_CONTRATACAO_POR_AREA" vbProcedure="false">'CUSTO M² CG'!$H$62</definedName>
    <definedName function="false" hidden="false" name="VALOR_TOTAL_SERV" vbProcedure="false">'SERVENTE CG'!$F$99</definedName>
    <definedName function="false" hidden="false" name="VALOR_TOTAL_SERV_HOSP" vbProcedure="false">#REF!</definedName>
    <definedName function="false" hidden="false" localSheetId="1" name="ACORDO_COLETIVO" vbProcedure="false">#REF!</definedName>
    <definedName function="false" hidden="false" localSheetId="1" name="ADIC_INSALUB_ENC" vbProcedure="false">#REF!</definedName>
    <definedName function="false" hidden="false" localSheetId="1" name="ADIC_INSALUB_SERV" vbProcedure="false">#REF!</definedName>
    <definedName function="false" hidden="false" localSheetId="1" name="ADIC_INSALUB_SERV_HOSP" vbProcedure="false">#REF!</definedName>
    <definedName function="false" hidden="false" localSheetId="1" name="ALIMENTACAO_POR_DIA" vbProcedure="false">#REF!</definedName>
    <definedName function="false" hidden="false" localSheetId="1" name="AREA_ESQ_EXTERNA_ANEXOS" vbProcedure="false">'INSERÇÃO-DE-DADOS_PRODUTIVIDADE'!$E$15</definedName>
    <definedName function="false" hidden="false" localSheetId="1" name="AREA_ESQ_EXTERNA_PTMS_PRMS" vbProcedure="false">'INSERÇÃO-DE-DADOS_PRODUTIVIDADE'!$F$15</definedName>
    <definedName function="false" hidden="false" localSheetId="1" name="AREA_ESQ_EXTERNA_SEDE" vbProcedure="false">'INSERÇÃO-DE-DADOS_PRODUTIVIDADE'!$D$15</definedName>
    <definedName function="false" hidden="false" localSheetId="1" name="AREA_ESQ_EXTERNA_TOTAL" vbProcedure="false">#REF!</definedName>
    <definedName function="false" hidden="false" localSheetId="1" name="AREA_EXTERNA_ANEXOS" vbProcedure="false">'INSERÇÃO-DE-DADOS_PRODUTIVIDADE'!$E$14</definedName>
    <definedName function="false" hidden="false" localSheetId="1" name="AREA_EXTERNA_PTMS_PRMS" vbProcedure="false">'INSERÇÃO-DE-DADOS_PRODUTIVIDADE'!$F$14</definedName>
    <definedName function="false" hidden="false" localSheetId="1" name="AREA_EXTERNA_SEDE" vbProcedure="false">'INSERÇÃO-DE-DADOS_PRODUTIVIDADE'!$D$14</definedName>
    <definedName function="false" hidden="false" localSheetId="1" name="AREA_EXTERNA_TOTAL" vbProcedure="false">#REF!</definedName>
    <definedName function="false" hidden="false" localSheetId="1" name="AREA_FACHADA_ENVID_ANEXOS" vbProcedure="false">'INSERÇÃO-DE-DADOS_PRODUTIVIDADE'!$E$16</definedName>
    <definedName function="false" hidden="false" localSheetId="1" name="AREA_FACHADA_ENVID_PTMS_PRMS" vbProcedure="false">'INSERÇÃO-DE-DADOS_PRODUTIVIDADE'!$F$16</definedName>
    <definedName function="false" hidden="false" localSheetId="1" name="AREA_FACHADA_ENVID_SEDE" vbProcedure="false">'INSERÇÃO-DE-DADOS_PRODUTIVIDADE'!$D$16</definedName>
    <definedName function="false" hidden="false" localSheetId="1" name="AREA_FACHADA_ENVID_TOTAL" vbProcedure="false">#REF!</definedName>
    <definedName function="false" hidden="false" localSheetId="1" name="AREA_INTERNA_ANEXOS" vbProcedure="false">'INSERÇÃO-DE-DADOS_PRODUTIVIDADE'!$E$9</definedName>
    <definedName function="false" hidden="false" localSheetId="1" name="AREA_INTERNA_PTMS_PRMS" vbProcedure="false">'INSERÇÃO-DE-DADOS_PRODUTIVIDADE'!$F$9</definedName>
    <definedName function="false" hidden="false" localSheetId="1" name="AREA_INTERNA_SEDE" vbProcedure="false">'INSERÇÃO-DE-DADOS_PRODUTIVIDADE'!$D$9</definedName>
    <definedName function="false" hidden="false" localSheetId="1" name="AREA_INTERNA_TOTAL" vbProcedure="false">#REF!</definedName>
    <definedName function="false" hidden="false" localSheetId="1" name="AREA_MED_HOSP_ANEXOS" vbProcedure="false">#REF!</definedName>
    <definedName function="false" hidden="false" localSheetId="1" name="AREA_MED_HOSP_PTMS_PRMS" vbProcedure="false">#REF!</definedName>
    <definedName function="false" hidden="false" localSheetId="1" name="AREA_MED_HOSP_SEDE" vbProcedure="false">#REF!</definedName>
    <definedName function="false" hidden="false" localSheetId="1" name="AREA_MED_HOSP_TOTAL" vbProcedure="false">#REF!</definedName>
    <definedName function="false" hidden="false" localSheetId="1" name="CATEGORIA_PROFISSIONAL_ENC" vbProcedure="false">#REF!</definedName>
    <definedName function="false" hidden="false" localSheetId="1" name="CATEGORIA_PROFISSIONAL_SERV" vbProcedure="false">#REF!</definedName>
    <definedName function="false" hidden="false" localSheetId="1" name="CATEGORIA_PROFISSIONAL_SERV_HOSP" vbProcedure="false">#REF!</definedName>
    <definedName function="false" hidden="false" localSheetId="1" name="CBO" vbProcedure="false">#REF!</definedName>
    <definedName function="false" hidden="false" localSheetId="1" name="DATA_APRESENTACAO_PROPOSTA" vbProcedure="false">#REF!</definedName>
    <definedName function="false" hidden="false" localSheetId="1" name="DATA_BASE_CATEGORIA" vbProcedure="false">#REF!</definedName>
    <definedName function="false" hidden="false" localSheetId="1" name="DATA_DO_ORCAMENTO_ESTIMATIVO" vbProcedure="false">#REF!</definedName>
    <definedName function="false" hidden="false" localSheetId="1" name="DATA_LICITACAO" vbProcedure="false">#REF!</definedName>
    <definedName function="false" hidden="false" localSheetId="1" name="DIAS_TRABALHADOS_NO_MES" vbProcedure="false">#REF!</definedName>
    <definedName function="false" hidden="false" localSheetId="1" name="ENCARREGADO_DE_LIMPEZA" vbProcedure="false">#REF!</definedName>
    <definedName function="false" hidden="false" localSheetId="1" name="EQUIPAMENTOS" vbProcedure="false">#REF!</definedName>
    <definedName function="false" hidden="false" localSheetId="1" name="FREQ_ESQ_EXTERNA" vbProcedure="false">'INSERÇÃO-DE-DADOS_PRODUTIVIDADE'!$P$15</definedName>
    <definedName function="false" hidden="false" localSheetId="1" name="FREQ_FACHADA_ENVID" vbProcedure="false">'INSERÇÃO-DE-DADOS_PRODUTIVIDADE'!$P$16</definedName>
    <definedName function="false" hidden="false" localSheetId="1" name="HORARIO_LICITACAO" vbProcedure="false">#REF!</definedName>
    <definedName function="false" hidden="false" localSheetId="1" name="LOCAL_DE_EXECUCAO" vbProcedure="false">#REF!</definedName>
    <definedName function="false" hidden="false" localSheetId="1" name="MATERIAIS" vbProcedure="false">#REF!</definedName>
    <definedName function="false" hidden="false" localSheetId="1" name="MODALIDADE_DE_LICITACAO" vbProcedure="false">#REF!</definedName>
    <definedName function="false" hidden="false" localSheetId="1" name="NUMERO_MESES_EXEC_CONTRATUAL" vbProcedure="false">#REF!</definedName>
    <definedName function="false" hidden="false" localSheetId="1" name="NUMERO_PREGAO" vbProcedure="false">#REF!</definedName>
    <definedName function="false" hidden="false" localSheetId="1" name="NUMERO_PROCESSO" vbProcedure="false">#REF!</definedName>
    <definedName function="false" hidden="false" localSheetId="1" name="OUTRAS_AUSENCIAS_DESCRICAO" vbProcedure="false">#REF!</definedName>
    <definedName function="false" hidden="false" localSheetId="1" name="OUTROS_BENEFICIOS_1" vbProcedure="false">#REF!</definedName>
    <definedName function="false" hidden="false" localSheetId="1" name="OUTROS_BENEFICIOS_1_DESCRICAO" vbProcedure="false">#REF!</definedName>
    <definedName function="false" hidden="false" localSheetId="1" name="OUTROS_BENEFICIOS_2" vbProcedure="false">#REF!</definedName>
    <definedName function="false" hidden="false" localSheetId="1" name="OUTROS_BENEFICIOS_2_DESCRICAO" vbProcedure="false">#REF!</definedName>
    <definedName function="false" hidden="false" localSheetId="1" name="OUTROS_BENEFICIOS_3" vbProcedure="false">#REF!</definedName>
    <definedName function="false" hidden="false" localSheetId="1" name="OUTROS_BENEFICIOS_3_DESCRICAO" vbProcedure="false">#REF!</definedName>
    <definedName function="false" hidden="false" localSheetId="1" name="OUTROS_INSUMOS" vbProcedure="false">#REF!</definedName>
    <definedName function="false" hidden="false" localSheetId="1" name="OUTROS_INSUMOS_DESCRICAO" vbProcedure="false">#REF!</definedName>
    <definedName function="false" hidden="false" localSheetId="1" name="OUTROS_REMUNERACAO_1" vbProcedure="false">#REF!</definedName>
    <definedName function="false" hidden="false" localSheetId="1" name="OUTROS_REMUNERACAO_1_DESCRICAO" vbProcedure="false">#REF!</definedName>
    <definedName function="false" hidden="false" localSheetId="1" name="OUTROS_REMUNERACAO_2" vbProcedure="false">#REF!</definedName>
    <definedName function="false" hidden="false" localSheetId="1" name="OUTROS_REMUNERACAO_2_DESCRICAO" vbProcedure="false">#REF!</definedName>
    <definedName function="false" hidden="false" localSheetId="1" name="OUTROS_REMUNERACAO_3" vbProcedure="false">#REF!</definedName>
    <definedName function="false" hidden="false" localSheetId="1" name="OUTROS_REMUNERACAO_3_DESCRICAO" vbProcedure="false">#REF!</definedName>
    <definedName function="false" hidden="false" localSheetId="1" name="PERC_ADIC_INSALUB" vbProcedure="false">#REF!</definedName>
    <definedName function="false" hidden="false" localSheetId="1" name="PERC_COFINS" vbProcedure="false">#REF!</definedName>
    <definedName function="false" hidden="false" localSheetId="1" name="PERC_CUSTOS_INDIRETOS" vbProcedure="false">#REF!</definedName>
    <definedName function="false" hidden="false" localSheetId="1" name="PERC_HORA_EXTRA" vbProcedure="false">#REF!</definedName>
    <definedName function="false" hidden="false" localSheetId="1" name="PERC_ISS" vbProcedure="false">#REF!</definedName>
    <definedName function="false" hidden="false" localSheetId="1" name="PERC_LUCRO" vbProcedure="false">#REF!</definedName>
    <definedName function="false" hidden="false" localSheetId="1" name="PERC_PIS" vbProcedure="false">#REF!</definedName>
    <definedName function="false" hidden="false" localSheetId="1" name="PERC_SUBSTITUTO_OUTRAS_AUSENCIAS" vbProcedure="false">#REF!</definedName>
    <definedName function="false" hidden="false" localSheetId="1" name="PORTARIA_LIMITES" vbProcedure="false">'INSERÇÃO-DE-DADOS_PRODUTIVIDADE'!$P$4</definedName>
    <definedName function="false" hidden="false" localSheetId="1" name="PRODUT_AREA_ESQ_EXTERNA" vbProcedure="false">'INSERÇÃO-DE-DADOS_PRODUTIVIDADE'!$J$15</definedName>
    <definedName function="false" hidden="false" localSheetId="1" name="PRODUT_AREA_EXTERNA" vbProcedure="false">'INSERÇÃO-DE-DADOS_PRODUTIVIDADE'!$J$14</definedName>
    <definedName function="false" hidden="false" localSheetId="1" name="PRODUT_AREA_FACHADA_ENVID" vbProcedure="false">'INSERÇÃO-DE-DADOS_PRODUTIVIDADE'!$J$16</definedName>
    <definedName function="false" hidden="false" localSheetId="1" name="PRODUT_AREA_HOSPITALAR" vbProcedure="false">#REF!</definedName>
    <definedName function="false" hidden="false" localSheetId="1" name="PRODUT_AREA_INTERNA" vbProcedure="false">'INSERÇÃO-DE-DADOS_PRODUTIVIDADE'!$J$9</definedName>
    <definedName function="false" hidden="false" localSheetId="1" name="QTDE_DE_ENC" vbProcedure="false">#REF!</definedName>
    <definedName function="false" hidden="false" localSheetId="1" name="QTDE_DE_SERV" vbProcedure="false">#REF!</definedName>
    <definedName function="false" hidden="false" localSheetId="1" name="QTDE_DE_SERV_HOSP" vbProcedure="false">#REF!</definedName>
    <definedName function="false" hidden="false" localSheetId="1" name="RAMO" vbProcedure="false">#REF!</definedName>
    <definedName function="false" hidden="false" localSheetId="1" name="RELACAO_SERVENTES_ENCARREGADOS" vbProcedure="false">'INSERÇÃO-DE-DADOS_PRODUTIVIDADE'!$P$17</definedName>
    <definedName function="false" hidden="false" localSheetId="1" name="SALARIO_NORMATIVO_ENC" vbProcedure="false">#REF!</definedName>
    <definedName function="false" hidden="false" localSheetId="1" name="SALARIO_NORMATIVO_SERV" vbProcedure="false">#REF!</definedName>
    <definedName function="false" hidden="false" localSheetId="1" name="SALARIO_NORMATIVO_SERV_HOSP" vbProcedure="false">#REF!</definedName>
    <definedName function="false" hidden="false" localSheetId="1" name="SAL_MINIMO" vbProcedure="false">#REF!</definedName>
    <definedName function="false" hidden="false" localSheetId="1" name="SERVENTE" vbProcedure="false">#REF!</definedName>
    <definedName function="false" hidden="false" localSheetId="1" name="SERVENTE_AREA_HOSPITALAR" vbProcedure="false">#REF!</definedName>
    <definedName function="false" hidden="false" localSheetId="1" name="TEMPO_INTERVALO_REFEICAO" vbProcedure="false">#REF!</definedName>
    <definedName function="false" hidden="false" localSheetId="1" name="TIPO_DE_SERVICO" vbProcedure="false">#REF!</definedName>
    <definedName function="false" hidden="false" localSheetId="1" name="TRANSPORTE_POR_DIA" vbProcedure="false">#REF!</definedName>
    <definedName function="false" hidden="false" localSheetId="1" name="UF" vbProcedure="false">#REF!</definedName>
    <definedName function="false" hidden="false" localSheetId="1" name="UG" vbProcedure="false">#REF!</definedName>
    <definedName function="false" hidden="false" localSheetId="1" name="UNIFORMES" vbProcedure="false">#REF!</definedName>
    <definedName function="false" hidden="false" localSheetId="4" name="AL_1_A_SAL_BASE_ENC" vbProcedure="false">ENCARREGADO!$F$21</definedName>
    <definedName function="false" hidden="false" localSheetId="4" name="AL_1_C_OUTROS_REM_1_ENC" vbProcedure="false">ENCARREGADO!$F$23</definedName>
    <definedName function="false" hidden="false" localSheetId="4" name="AL_2_1_A_DEC_TERC_SERV" vbProcedure="false">'SERVENTE CG'!$F$30</definedName>
    <definedName function="false" hidden="false" localSheetId="4" name="AL_2_1_B_ADIC_FERIAS_ENC" vbProcedure="false">ENCARREGADO!$F$31</definedName>
    <definedName function="false" hidden="false" localSheetId="4" name="AL_2_2_FGTS_ENC" vbProcedure="false">ENCARREGADO!$F$42</definedName>
    <definedName function="false" hidden="false" localSheetId="4" name="AL_2_3_A_TRANSP_ENC" vbProcedure="false">ENCARREGADO!$F$46</definedName>
    <definedName function="false" hidden="false" localSheetId="4" name="AL_2_3_B_AUX_ALIMENT_ENC" vbProcedure="false">ENCARREGADO!$F$47</definedName>
    <definedName function="false" hidden="false" localSheetId="4" name="AL_2_3_C_OUTROS_BENEF_1_ENC" vbProcedure="false">ENCARREGADO!$F$48</definedName>
    <definedName function="false" hidden="false" localSheetId="4" name="AL_2_A_ATE_2_G_GPS_ENC" vbProcedure="false">ENCARREGADO!$F$35:$F$41</definedName>
    <definedName function="false" hidden="false" localSheetId="4" name="AL_6_A_CUSTOS_INDIRETOS_ENC" vbProcedure="false">ENCARREGADO!$F$84</definedName>
    <definedName function="false" hidden="false" localSheetId="4" name="AL_6_B_LUCRO_ENC" vbProcedure="false">ENCARREGADO!$F$85</definedName>
    <definedName function="false" hidden="false" localSheetId="4" name="AL_6_C_1_PIS_ENC" vbProcedure="false">ENCARREGADO!$F$87</definedName>
    <definedName function="false" hidden="false" localSheetId="4" name="AL_6_C_2_COFINS_ENC" vbProcedure="false">ENCARREGADO!$F$88</definedName>
    <definedName function="false" hidden="false" localSheetId="4" name="AL_6_C_3_ISS_ENC" vbProcedure="false">ENCARREGADO!$F$89</definedName>
    <definedName function="false" hidden="false" localSheetId="4" name="AL_6_C_TRIBUTOS_ENC" vbProcedure="false">ENCARREGADO!$F$86</definedName>
    <definedName function="false" hidden="false" localSheetId="4" name="MOD_1_REMUNERACAO_ENC" vbProcedure="false">ENCARREGADO!$F$26</definedName>
    <definedName function="false" hidden="false" localSheetId="4" name="MOD_2_ENCARGOS_BENEFICIOS_ENC" vbProcedure="false">ENCARREGADO!$F$32+ENCARREGADO!$F$43+ENCARREGADO!$F$51</definedName>
    <definedName function="false" hidden="false" localSheetId="4" name="MOD_3_PROVISAO_RESCISAO_ENC" vbProcedure="false">ENCARREGADO!$F$60</definedName>
    <definedName function="false" hidden="false" localSheetId="4" name="MOD_4_CUSTO_REPOSICAO_ENC" vbProcedure="false">ENCARREGADO!$F$70+ENCARREGADO!$F$74</definedName>
    <definedName function="false" hidden="false" localSheetId="4" name="MOD_5_INSUMOS_ENC" vbProcedure="false">ENCARREGADO!$F$81</definedName>
    <definedName function="false" hidden="false" localSheetId="4" name="MOD_6_CUSTOS_IND_LUCRO_TRIB_ENC" vbProcedure="false">ENCARREGADO!$F$90</definedName>
    <definedName function="false" hidden="false" localSheetId="4" name="PERC_MOD_3_PROVISAO_RESCISAO" vbProcedure="false">ENCARREGADO!$E$60</definedName>
    <definedName function="false" hidden="false" localSheetId="4" name="PERC_TRIBUTOS" vbProcedure="false">ENCARREGADO!$E$86</definedName>
    <definedName function="false" hidden="false" localSheetId="4" name="SUBMOD_2_1_DEC_TERC_ADIC_FERIAS_ENC" vbProcedure="false">ENCARREGADO!$F$32</definedName>
    <definedName function="false" hidden="false" localSheetId="4" name="SUBMOD_2_2_GPS_FGTS_ENC" vbProcedure="false">ENCARREGADO!$F$43</definedName>
    <definedName function="false" hidden="false" localSheetId="4" name="SUBMOD_2_3_BENEFICIOS_ENC" vbProcedure="false">ENCARREGADO!$F$51</definedName>
    <definedName function="false" hidden="false" localSheetId="4" name="SUBMOD_4_1_SUBSTITUTO_ENC" vbProcedure="false">ENCARREGADO!$F$70</definedName>
    <definedName function="false" hidden="false" localSheetId="4" name="SUBMOD_4_2_INTRAJORNADA_ENC" vbProcedure="false">ENCARREGADO!$F$74</definedName>
    <definedName function="false" hidden="false" localSheetId="4" name="VALOR_TOTAL_ENC" vbProcedure="false">ENCARREGADO!$F$99</definedName>
    <definedName function="false" hidden="false" localSheetId="4" name="VALOR_TOTAL_SERV" vbProcedure="false">'SERVENTE CG'!$F$99</definedName>
    <definedName function="false" hidden="false" localSheetId="5" name="AL_1_A_SAL_BASE_SERV" vbProcedure="false">'SERVENTE CG'!$F$21</definedName>
    <definedName function="false" hidden="false" localSheetId="5" name="AL_1_E_OUTROS_REM_3_ENC" vbProcedure="false">ENCARREGADO!$F$25</definedName>
    <definedName function="false" hidden="false" localSheetId="5" name="AL_2_1_A_DEC_TERC_ENC" vbProcedure="false">ENCARREGADO!$F$30</definedName>
    <definedName function="false" hidden="false" localSheetId="5" name="AL_2_1_B_ADIC_FERIAS_SERV" vbProcedure="false">'SERVENTE CG'!$F$31</definedName>
    <definedName function="false" hidden="false" localSheetId="5" name="AL_2_2_FGTS_SERV" vbProcedure="false">'SERVENTE CG'!$F$42</definedName>
    <definedName function="false" hidden="false" localSheetId="5" name="AL_2_3_A_TRANSP_SERV" vbProcedure="false">'SERVENTE CG'!$F$46</definedName>
    <definedName function="false" hidden="false" localSheetId="5" name="AL_2_3_B_AUX_ALIMENT_SERV" vbProcedure="false">'SERVENTE CG'!$F$47</definedName>
    <definedName function="false" hidden="false" localSheetId="5" name="AL_2_3_C_OUTROS_BENEF_1_SERV" vbProcedure="false">'SERVENTE CG'!$F$48</definedName>
    <definedName function="false" hidden="false" localSheetId="5" name="AL_2_A_ATE_2_G_GPS_SERV" vbProcedure="false">'SERVENTE CG'!$F$35:$F$41</definedName>
    <definedName function="false" hidden="false" localSheetId="5" name="AL_6_A_CUSTOS_INDIRETOS_SERV" vbProcedure="false">'SERVENTE CG'!$F$84</definedName>
    <definedName function="false" hidden="false" localSheetId="5" name="AL_6_B_LUCRO_SERV" vbProcedure="false">'SERVENTE CG'!$F$85</definedName>
    <definedName function="false" hidden="false" localSheetId="5" name="AL_6_C_1_PIS_SERV" vbProcedure="false">'SERVENTE CG'!$F$87</definedName>
    <definedName function="false" hidden="false" localSheetId="5" name="AL_6_C_2_COFINS_SERV" vbProcedure="false">'SERVENTE CG'!$F$88</definedName>
    <definedName function="false" hidden="false" localSheetId="5" name="AL_6_C_3_ISS_SERV" vbProcedure="false">'SERVENTE CG'!$F$89</definedName>
    <definedName function="false" hidden="false" localSheetId="5" name="AL_6_C_TRIBUTOS_SERV" vbProcedure="false">'SERVENTE CG'!$F$86</definedName>
    <definedName function="false" hidden="false" localSheetId="5" name="MOD_1_REMUNERACAO_SERV" vbProcedure="false">'SERVENTE CG'!$F$26</definedName>
    <definedName function="false" hidden="false" localSheetId="5" name="MOD_2_ENCARGOS_BENEFICIOS_SERV" vbProcedure="false">'SERVENTE CG'!$F$32+'SERVENTE CG'!$F$43+'SERVENTE CG'!$F$51</definedName>
    <definedName function="false" hidden="false" localSheetId="5" name="MOD_3_PROVISAO_RESCISAO_SERV" vbProcedure="false">'SERVENTE CG'!$F$60</definedName>
    <definedName function="false" hidden="false" localSheetId="5" name="MOD_4_CUSTO_REPOSICAO_SERV" vbProcedure="false">'SERVENTE CG'!$F$70+'SERVENTE CG'!$F$74</definedName>
    <definedName function="false" hidden="false" localSheetId="5" name="MOD_5_INSUMOS_SERV" vbProcedure="false">'SERVENTE CG'!$F$81</definedName>
    <definedName function="false" hidden="false" localSheetId="5" name="MOD_6_CUSTOS_IND_LUCRO_TRIB_SERV" vbProcedure="false">'SERVENTE CG'!$F$90</definedName>
    <definedName function="false" hidden="false" localSheetId="5" name="PERC_MOD_3_PROVISAO_RESCISAO" vbProcedure="false">'SERVENTE CG'!$E$60</definedName>
    <definedName function="false" hidden="false" localSheetId="5" name="PERC_TRIBUTOS" vbProcedure="false">'SERVENTE CG'!$E$86</definedName>
    <definedName function="false" hidden="false" localSheetId="5" name="SUBMOD_2_1_DEC_TERC_ADIC_FERIAS_SERV" vbProcedure="false">'SERVENTE CG'!$F$32</definedName>
    <definedName function="false" hidden="false" localSheetId="5" name="SUBMOD_2_2_GPS_FGTS_SERV" vbProcedure="false">'SERVENTE CG'!$F$43</definedName>
    <definedName function="false" hidden="false" localSheetId="5" name="SUBMOD_2_3_BENEFICIOS_SERV" vbProcedure="false">'SERVENTE CG'!$F$51</definedName>
    <definedName function="false" hidden="false" localSheetId="5" name="SUBMOD_4_1_SUBSTITUTO_SERV" vbProcedure="false">'SERVENTE CG'!$F$70</definedName>
    <definedName function="false" hidden="false" localSheetId="5" name="SUBMOD_4_2_INTRAJORNADA_SERV" vbProcedure="false">'SERVENTE CG'!$F$74</definedName>
    <definedName function="false" hidden="false" localSheetId="5" name="VALOR_TOTAL_SERV_HOSP" vbProcedure="false">#REF!</definedName>
    <definedName function="false" hidden="false" localSheetId="7" name="AL_1_A_SAL_BASE_SERV" vbProcedure="false">'SERVENTE DOU'!$F$21</definedName>
    <definedName function="false" hidden="false" localSheetId="7" name="AL_1_C_OUTROS_REM_1_SERV" vbProcedure="false">'SERVENTE DOU'!$F$23</definedName>
    <definedName function="false" hidden="false" localSheetId="7" name="AL_1_D_OUTROS_REM_2_SERV" vbProcedure="false">'SERVENTE DOU'!$F$24</definedName>
    <definedName function="false" hidden="false" localSheetId="7" name="AL_1_E_OUTROS_REM_3_ENC" vbProcedure="false">ENCARREGADO!$F$25</definedName>
    <definedName function="false" hidden="false" localSheetId="7" name="AL_1_E_OUTROS_REM_3_SERV" vbProcedure="false">'SERVENTE DOU'!$F$25</definedName>
    <definedName function="false" hidden="false" localSheetId="7" name="AL_2_1_A_DEC_TERC_ENC" vbProcedure="false">ENCARREGADO!$F$30</definedName>
    <definedName function="false" hidden="false" localSheetId="7" name="AL_2_1_B_ADIC_FERIAS_SERV" vbProcedure="false">'SERVENTE DOU'!$F$31</definedName>
    <definedName function="false" hidden="false" localSheetId="7" name="AL_2_2_FGTS_SERV" vbProcedure="false">'SERVENTE DOU'!$F$42</definedName>
    <definedName function="false" hidden="false" localSheetId="7" name="AL_2_3_A_TRANSP_SERV" vbProcedure="false">'SERVENTE DOU'!$F$46</definedName>
    <definedName function="false" hidden="false" localSheetId="7" name="AL_2_3_B_AUX_ALIMENT_SERV" vbProcedure="false">'SERVENTE DOU'!$F$47</definedName>
    <definedName function="false" hidden="false" localSheetId="7" name="AL_2_3_C_OUTROS_BENEF_1_SERV" vbProcedure="false">'SERVENTE DOU'!$F$48</definedName>
    <definedName function="false" hidden="false" localSheetId="7" name="AL_2_A_ATE_2_G_GPS_SERV" vbProcedure="false">'SERVENTE DOU'!$F$35:$F$41</definedName>
    <definedName function="false" hidden="false" localSheetId="7" name="AL_6_A_CUSTOS_INDIRETOS_SERV" vbProcedure="false">'SERVENTE DOU'!$F$84</definedName>
    <definedName function="false" hidden="false" localSheetId="7" name="AL_6_B_LUCRO_SERV" vbProcedure="false">'SERVENTE DOU'!$F$85</definedName>
    <definedName function="false" hidden="false" localSheetId="7" name="AL_6_C_1_PIS_SERV" vbProcedure="false">'SERVENTE DOU'!$F$87</definedName>
    <definedName function="false" hidden="false" localSheetId="7" name="AL_6_C_2_COFINS_SERV" vbProcedure="false">'SERVENTE DOU'!$F$88</definedName>
    <definedName function="false" hidden="false" localSheetId="7" name="AL_6_C_3_ISS_SERV" vbProcedure="false">'SERVENTE DOU'!$F$89</definedName>
    <definedName function="false" hidden="false" localSheetId="7" name="AL_6_C_TRIBUTOS_SERV" vbProcedure="false">'SERVENTE DOU'!$F$86</definedName>
    <definedName function="false" hidden="false" localSheetId="7" name="MOD_1_REMUNERACAO_SERV" vbProcedure="false">'SERVENTE DOU'!$F$26</definedName>
    <definedName function="false" hidden="false" localSheetId="7" name="MOD_2_ENCARGOS_BENEFICIOS_SERV" vbProcedure="false">'SERVENTE DOU'!$F$32+'SERVENTE DOU'!$F$43+'SERVENTE DOU'!$F$51</definedName>
    <definedName function="false" hidden="false" localSheetId="7" name="MOD_3_PROVISAO_RESCISAO_SERV" vbProcedure="false">'SERVENTE DOU'!$F$60</definedName>
    <definedName function="false" hidden="false" localSheetId="7" name="MOD_4_CUSTO_REPOSICAO_SERV" vbProcedure="false">'SERVENTE DOU'!$F$70+'SERVENTE DOU'!$F$74</definedName>
    <definedName function="false" hidden="false" localSheetId="7" name="MOD_5_INSUMOS_SERV" vbProcedure="false">'SERVENTE DOU'!$F$81</definedName>
    <definedName function="false" hidden="false" localSheetId="7" name="MOD_6_CUSTOS_IND_LUCRO_TRIB_SERV" vbProcedure="false">'SERVENTE DOU'!$F$90</definedName>
    <definedName function="false" hidden="false" localSheetId="7" name="PERC_MOD_3_PROVISAO_RESCISAO" vbProcedure="false">'SERVENTE DOU'!$E$60</definedName>
    <definedName function="false" hidden="false" localSheetId="7" name="PERC_TRIBUTOS" vbProcedure="false">'SERVENTE DOU'!$E$86</definedName>
    <definedName function="false" hidden="false" localSheetId="7" name="SUBMOD_2_1_DEC_TERC_ADIC_FERIAS_SERV" vbProcedure="false">'SERVENTE DOU'!$F$32</definedName>
    <definedName function="false" hidden="false" localSheetId="7" name="SUBMOD_2_2_GPS_FGTS_SERV" vbProcedure="false">'SERVENTE DOU'!$F$43</definedName>
    <definedName function="false" hidden="false" localSheetId="7" name="SUBMOD_2_3_BENEFICIOS_SERV" vbProcedure="false">'SERVENTE DOU'!$F$51</definedName>
    <definedName function="false" hidden="false" localSheetId="7" name="SUBMOD_4_1_SUBSTITUTO_SERV" vbProcedure="false">'SERVENTE DOU'!$F$70</definedName>
    <definedName function="false" hidden="false" localSheetId="7" name="SUBMOD_4_2_INTRAJORNADA_SERV" vbProcedure="false">'SERVENTE DOU'!$F$74</definedName>
    <definedName function="false" hidden="false" localSheetId="7" name="VALOR_TOTAL_SERV" vbProcedure="false">'SERVENTE DOU'!$F$99</definedName>
    <definedName function="false" hidden="false" localSheetId="7" name="VALOR_TOTAL_SERV_HOSP" vbProcedure="false">#REF!</definedName>
    <definedName function="false" hidden="false" localSheetId="8" name="COEF_KI_ESQ_EXTERNA_ENC" vbProcedure="false">#REF!</definedName>
    <definedName function="false" hidden="false" localSheetId="8" name="COEF_KI_ESQ_EXTERNA_SERV" vbProcedure="false">'CUSTO M² DOU'!$G$29</definedName>
    <definedName function="false" hidden="false" localSheetId="8" name="CUSTO_M2_AREA_EXTERNA_ENC" vbProcedure="false">#REF!</definedName>
    <definedName function="false" hidden="false" localSheetId="8" name="CUSTO_M2_AREA_INTERNA" vbProcedure="false">#REF!</definedName>
    <definedName function="false" hidden="false" localSheetId="8" name="CUSTO_M2_AREA_INTERNA_ENC" vbProcedure="false">#REF!</definedName>
    <definedName function="false" hidden="false" localSheetId="8" name="CUSTO_M2_ESQ_EXTERNA" vbProcedure="false">#REF!</definedName>
    <definedName function="false" hidden="false" localSheetId="8" name="CUSTO_M2_ESQ_EXTERNA_ENC" vbProcedure="false">#REF!</definedName>
    <definedName function="false" hidden="false" localSheetId="8" name="CUSTO_M2_ESQ_EXTERNA_SERV" vbProcedure="false">'CUSTO M² DOU'!$I$29</definedName>
    <definedName function="false" hidden="false" localSheetId="8" name="JORNADA_MES_ESQ_EXTERNA_ENC" vbProcedure="false">#REF!</definedName>
    <definedName function="false" hidden="false" localSheetId="8" name="JORNADA_MES_ESQ_EXTERNA_SERV" vbProcedure="false">'CUSTO M² DOU'!$F$29</definedName>
    <definedName function="false" hidden="false" localSheetId="8" name="VALOR_LIMITES_AREA_EXTERNA" vbProcedure="false">'CUSTO M² DOU'!$H$41</definedName>
    <definedName function="false" hidden="false" localSheetId="8" name="VALOR_LIMITES_AREA_INTERNA" vbProcedure="false">'CUSTO M² DOU'!$H$38</definedName>
    <definedName function="false" hidden="false" localSheetId="8" name="VALOR_LIMITES_ESQ_EXTERNA" vbProcedure="false">'CUSTO M² DOU'!$H$44</definedName>
    <definedName function="false" hidden="false" localSheetId="8" name="VALOR_LIMITE_CONTRATACAO_POR_AREA" vbProcedure="false">'CUSTO M² DOU'!$H$46</definedName>
    <definedName function="false" hidden="false" localSheetId="9" name="AL_1_A_SAL_BASE_SERV" vbProcedure="false">'SERVENTE TL'!$F$21</definedName>
    <definedName function="false" hidden="false" localSheetId="9" name="AL_1_C_OUTROS_REM_1_SERV" vbProcedure="false">'SERVENTE TL'!$F$23</definedName>
    <definedName function="false" hidden="false" localSheetId="9" name="AL_1_D_OUTROS_REM_2_SERV" vbProcedure="false">'SERVENTE TL'!$F$24</definedName>
    <definedName function="false" hidden="false" localSheetId="9" name="AL_1_E_OUTROS_REM_3_ENC" vbProcedure="false">ENCARREGADO!$F$25</definedName>
    <definedName function="false" hidden="false" localSheetId="9" name="AL_1_E_OUTROS_REM_3_SERV" vbProcedure="false">'SERVENTE TL'!$F$25</definedName>
    <definedName function="false" hidden="false" localSheetId="9" name="AL_2_1_A_DEC_TERC_ENC" vbProcedure="false">ENCARREGADO!$F$30</definedName>
    <definedName function="false" hidden="false" localSheetId="9" name="AL_2_1_B_ADIC_FERIAS_SERV" vbProcedure="false">'SERVENTE TL'!$F$31</definedName>
    <definedName function="false" hidden="false" localSheetId="9" name="AL_2_2_FGTS_SERV" vbProcedure="false">'SERVENTE TL'!$F$42</definedName>
    <definedName function="false" hidden="false" localSheetId="9" name="AL_2_3_A_TRANSP_SERV" vbProcedure="false">'SERVENTE TL'!$F$46</definedName>
    <definedName function="false" hidden="false" localSheetId="9" name="AL_2_3_B_AUX_ALIMENT_SERV" vbProcedure="false">'SERVENTE TL'!$F$47</definedName>
    <definedName function="false" hidden="false" localSheetId="9" name="AL_2_3_C_OUTROS_BENEF_1_SERV" vbProcedure="false">'SERVENTE TL'!$F$48</definedName>
    <definedName function="false" hidden="false" localSheetId="9" name="AL_2_A_ATE_2_G_GPS_SERV" vbProcedure="false">'SERVENTE TL'!$F$35:$F$41</definedName>
    <definedName function="false" hidden="false" localSheetId="9" name="AL_6_A_CUSTOS_INDIRETOS_SERV" vbProcedure="false">'SERVENTE TL'!$F$84</definedName>
    <definedName function="false" hidden="false" localSheetId="9" name="AL_6_B_LUCRO_SERV" vbProcedure="false">'SERVENTE TL'!$F$85</definedName>
    <definedName function="false" hidden="false" localSheetId="9" name="AL_6_C_1_PIS_SERV" vbProcedure="false">'SERVENTE TL'!$F$87</definedName>
    <definedName function="false" hidden="false" localSheetId="9" name="AL_6_C_2_COFINS_SERV" vbProcedure="false">'SERVENTE TL'!$F$88</definedName>
    <definedName function="false" hidden="false" localSheetId="9" name="AL_6_C_3_ISS_SERV" vbProcedure="false">'SERVENTE TL'!$F$89</definedName>
    <definedName function="false" hidden="false" localSheetId="9" name="AL_6_C_TRIBUTOS_SERV" vbProcedure="false">'SERVENTE TL'!$F$86</definedName>
    <definedName function="false" hidden="false" localSheetId="9" name="MOD_1_REMUNERACAO_SERV" vbProcedure="false">'SERVENTE TL'!$F$26</definedName>
    <definedName function="false" hidden="false" localSheetId="9" name="MOD_2_ENCARGOS_BENEFICIOS_SERV" vbProcedure="false">'SERVENTE TL'!$F$32+'SERVENTE TL'!$F$43+'SERVENTE TL'!$F$51</definedName>
    <definedName function="false" hidden="false" localSheetId="9" name="MOD_3_PROVISAO_RESCISAO_SERV" vbProcedure="false">'SERVENTE TL'!$F$60</definedName>
    <definedName function="false" hidden="false" localSheetId="9" name="MOD_4_CUSTO_REPOSICAO_SERV" vbProcedure="false">'SERVENTE TL'!$F$70+'SERVENTE TL'!$F$74</definedName>
    <definedName function="false" hidden="false" localSheetId="9" name="MOD_5_INSUMOS_SERV" vbProcedure="false">'SERVENTE TL'!$F$81</definedName>
    <definedName function="false" hidden="false" localSheetId="9" name="MOD_6_CUSTOS_IND_LUCRO_TRIB_SERV" vbProcedure="false">'SERVENTE TL'!$F$90</definedName>
    <definedName function="false" hidden="false" localSheetId="9" name="PERC_MOD_3_PROVISAO_RESCISAO" vbProcedure="false">'SERVENTE TL'!$E$60</definedName>
    <definedName function="false" hidden="false" localSheetId="9" name="PERC_TRIBUTOS" vbProcedure="false">'SERVENTE TL'!$E$86</definedName>
    <definedName function="false" hidden="false" localSheetId="9" name="SUBMOD_2_1_DEC_TERC_ADIC_FERIAS_SERV" vbProcedure="false">'SERVENTE TL'!$F$32</definedName>
    <definedName function="false" hidden="false" localSheetId="9" name="SUBMOD_2_2_GPS_FGTS_SERV" vbProcedure="false">'SERVENTE TL'!$F$43</definedName>
    <definedName function="false" hidden="false" localSheetId="9" name="SUBMOD_2_3_BENEFICIOS_SERV" vbProcedure="false">'SERVENTE TL'!$F$51</definedName>
    <definedName function="false" hidden="false" localSheetId="9" name="SUBMOD_4_1_SUBSTITUTO_SERV" vbProcedure="false">'SERVENTE TL'!$F$70</definedName>
    <definedName function="false" hidden="false" localSheetId="9" name="SUBMOD_4_2_INTRAJORNADA_SERV" vbProcedure="false">'SERVENTE TL'!$F$74</definedName>
    <definedName function="false" hidden="false" localSheetId="9" name="VALOR_TOTAL_SERV" vbProcedure="false">'SERVENTE TL'!$F$99</definedName>
    <definedName function="false" hidden="false" localSheetId="9" name="VALOR_TOTAL_SERV_HOSP" vbProcedure="false">#REF!</definedName>
    <definedName function="false" hidden="false" localSheetId="10" name="COEF_KI_ESQ_EXTERNA_ENC" vbProcedure="false">#REF!</definedName>
    <definedName function="false" hidden="false" localSheetId="10" name="COEF_KI_ESQ_EXTERNA_SERV" vbProcedure="false">'CUSTO M² TL'!$G$29</definedName>
    <definedName function="false" hidden="false" localSheetId="10" name="CUSTO_M2_AREA_EXTERNA_ENC" vbProcedure="false">#REF!</definedName>
    <definedName function="false" hidden="false" localSheetId="10" name="CUSTO_M2_AREA_INTERNA" vbProcedure="false">#REF!</definedName>
    <definedName function="false" hidden="false" localSheetId="10" name="CUSTO_M2_AREA_INTERNA_ENC" vbProcedure="false">#REF!</definedName>
    <definedName function="false" hidden="false" localSheetId="10" name="CUSTO_M2_ESQ_EXTERNA" vbProcedure="false">#REF!</definedName>
    <definedName function="false" hidden="false" localSheetId="10" name="CUSTO_M2_ESQ_EXTERNA_ENC" vbProcedure="false">#REF!</definedName>
    <definedName function="false" hidden="false" localSheetId="10" name="CUSTO_M2_ESQ_EXTERNA_SERV" vbProcedure="false">'CUSTO M² TL'!$I$29</definedName>
    <definedName function="false" hidden="false" localSheetId="10" name="JORNADA_MES_ESQ_EXTERNA_ENC" vbProcedure="false">#REF!</definedName>
    <definedName function="false" hidden="false" localSheetId="10" name="JORNADA_MES_ESQ_EXTERNA_SERV" vbProcedure="false">'CUSTO M² TL'!$F$29</definedName>
    <definedName function="false" hidden="false" localSheetId="10" name="VALOR_LIMITES_AREA_EXTERNA" vbProcedure="false">'CUSTO M² TL'!$H$41</definedName>
    <definedName function="false" hidden="false" localSheetId="10" name="VALOR_LIMITES_AREA_INTERNA" vbProcedure="false">'CUSTO M² TL'!$H$38</definedName>
    <definedName function="false" hidden="false" localSheetId="10" name="VALOR_LIMITES_ESQ_EXTERNA" vbProcedure="false">'CUSTO M² TL'!$H$44</definedName>
    <definedName function="false" hidden="false" localSheetId="10" name="VALOR_LIMITE_CONTRATACAO_POR_AREA" vbProcedure="false">'CUSTO M² TL'!$H$46</definedName>
    <definedName function="false" hidden="false" localSheetId="11" name="AL_1_A_SAL_BASE_SERV" vbProcedure="false">'SERVENTE COR'!$F$21</definedName>
    <definedName function="false" hidden="false" localSheetId="11" name="AL_1_C_OUTROS_REM_1_SERV" vbProcedure="false">'SERVENTE COR'!$F$23</definedName>
    <definedName function="false" hidden="false" localSheetId="11" name="AL_1_D_OUTROS_REM_2_SERV" vbProcedure="false">'SERVENTE COR'!$F$24</definedName>
    <definedName function="false" hidden="false" localSheetId="11" name="AL_1_E_OUTROS_REM_3_ENC" vbProcedure="false">ENCARREGADO!$F$25</definedName>
    <definedName function="false" hidden="false" localSheetId="11" name="AL_1_E_OUTROS_REM_3_SERV" vbProcedure="false">'SERVENTE COR'!$F$25</definedName>
    <definedName function="false" hidden="false" localSheetId="11" name="AL_2_1_A_DEC_TERC_ENC" vbProcedure="false">ENCARREGADO!$F$30</definedName>
    <definedName function="false" hidden="false" localSheetId="11" name="AL_2_1_B_ADIC_FERIAS_SERV" vbProcedure="false">'SERVENTE COR'!$F$31</definedName>
    <definedName function="false" hidden="false" localSheetId="11" name="AL_2_2_FGTS_SERV" vbProcedure="false">'SERVENTE COR'!$F$42</definedName>
    <definedName function="false" hidden="false" localSheetId="11" name="AL_2_3_A_TRANSP_SERV" vbProcedure="false">'SERVENTE COR'!$F$46</definedName>
    <definedName function="false" hidden="false" localSheetId="11" name="AL_2_3_B_AUX_ALIMENT_SERV" vbProcedure="false">'SERVENTE COR'!$F$47</definedName>
    <definedName function="false" hidden="false" localSheetId="11" name="AL_2_3_C_OUTROS_BENEF_1_SERV" vbProcedure="false">'SERVENTE COR'!$F$48</definedName>
    <definedName function="false" hidden="false" localSheetId="11" name="AL_2_A_ATE_2_G_GPS_SERV" vbProcedure="false">'SERVENTE COR'!$F$35:$F$41</definedName>
    <definedName function="false" hidden="false" localSheetId="11" name="AL_6_A_CUSTOS_INDIRETOS_SERV" vbProcedure="false">'SERVENTE COR'!$F$84</definedName>
    <definedName function="false" hidden="false" localSheetId="11" name="AL_6_B_LUCRO_SERV" vbProcedure="false">'SERVENTE COR'!$F$85</definedName>
    <definedName function="false" hidden="false" localSheetId="11" name="AL_6_C_1_PIS_SERV" vbProcedure="false">'SERVENTE COR'!$F$87</definedName>
    <definedName function="false" hidden="false" localSheetId="11" name="AL_6_C_2_COFINS_SERV" vbProcedure="false">'SERVENTE COR'!$F$88</definedName>
    <definedName function="false" hidden="false" localSheetId="11" name="AL_6_C_3_ISS_SERV" vbProcedure="false">'SERVENTE COR'!$F$89</definedName>
    <definedName function="false" hidden="false" localSheetId="11" name="AL_6_C_TRIBUTOS_SERV" vbProcedure="false">'SERVENTE COR'!$F$86</definedName>
    <definedName function="false" hidden="false" localSheetId="11" name="MOD_1_REMUNERACAO_SERV" vbProcedure="false">'SERVENTE COR'!$F$26</definedName>
    <definedName function="false" hidden="false" localSheetId="11" name="MOD_2_ENCARGOS_BENEFICIOS_SERV" vbProcedure="false">'SERVENTE COR'!$F$32+'SERVENTE COR'!$F$43+'SERVENTE COR'!$F$51</definedName>
    <definedName function="false" hidden="false" localSheetId="11" name="MOD_3_PROVISAO_RESCISAO_SERV" vbProcedure="false">'SERVENTE COR'!$F$60</definedName>
    <definedName function="false" hidden="false" localSheetId="11" name="MOD_4_CUSTO_REPOSICAO_SERV" vbProcedure="false">'SERVENTE COR'!$F$70+'SERVENTE COR'!$F$74</definedName>
    <definedName function="false" hidden="false" localSheetId="11" name="MOD_5_INSUMOS_SERV" vbProcedure="false">'SERVENTE COR'!$F$81</definedName>
    <definedName function="false" hidden="false" localSheetId="11" name="MOD_6_CUSTOS_IND_LUCRO_TRIB_SERV" vbProcedure="false">'SERVENTE COR'!$F$90</definedName>
    <definedName function="false" hidden="false" localSheetId="11" name="PERC_MOD_3_PROVISAO_RESCISAO" vbProcedure="false">'SERVENTE COR'!$E$60</definedName>
    <definedName function="false" hidden="false" localSheetId="11" name="PERC_TRIBUTOS" vbProcedure="false">'SERVENTE COR'!$E$86</definedName>
    <definedName function="false" hidden="false" localSheetId="11" name="SUBMOD_2_1_DEC_TERC_ADIC_FERIAS_SERV" vbProcedure="false">'SERVENTE COR'!$F$32</definedName>
    <definedName function="false" hidden="false" localSheetId="11" name="SUBMOD_2_2_GPS_FGTS_SERV" vbProcedure="false">'SERVENTE COR'!$F$43</definedName>
    <definedName function="false" hidden="false" localSheetId="11" name="SUBMOD_2_3_BENEFICIOS_SERV" vbProcedure="false">'SERVENTE COR'!$F$51</definedName>
    <definedName function="false" hidden="false" localSheetId="11" name="SUBMOD_4_1_SUBSTITUTO_SERV" vbProcedure="false">'SERVENTE COR'!$F$70</definedName>
    <definedName function="false" hidden="false" localSheetId="11" name="SUBMOD_4_2_INTRAJORNADA_SERV" vbProcedure="false">'SERVENTE COR'!$F$74</definedName>
    <definedName function="false" hidden="false" localSheetId="11" name="VALOR_TOTAL_SERV" vbProcedure="false">'SERVENTE COR'!$F$99</definedName>
    <definedName function="false" hidden="false" localSheetId="11" name="VALOR_TOTAL_SERV_HOSP" vbProcedure="false">#REF!</definedName>
    <definedName function="false" hidden="false" localSheetId="12" name="COEF_KI_ESQ_EXTERNA_ENC" vbProcedure="false">#REF!</definedName>
    <definedName function="false" hidden="false" localSheetId="12" name="COEF_KI_ESQ_EXTERNA_SERV" vbProcedure="false">'CUSTO M² COR'!$G$29</definedName>
    <definedName function="false" hidden="false" localSheetId="12" name="CUSTO_M2_AREA_EXTERNA_ENC" vbProcedure="false">#REF!</definedName>
    <definedName function="false" hidden="false" localSheetId="12" name="CUSTO_M2_AREA_INTERNA" vbProcedure="false">#REF!</definedName>
    <definedName function="false" hidden="false" localSheetId="12" name="CUSTO_M2_AREA_INTERNA_ENC" vbProcedure="false">#REF!</definedName>
    <definedName function="false" hidden="false" localSheetId="12" name="CUSTO_M2_ESQ_EXTERNA" vbProcedure="false">#REF!</definedName>
    <definedName function="false" hidden="false" localSheetId="12" name="CUSTO_M2_ESQ_EXTERNA_ENC" vbProcedure="false">#REF!</definedName>
    <definedName function="false" hidden="false" localSheetId="12" name="CUSTO_M2_ESQ_EXTERNA_SERV" vbProcedure="false">'CUSTO M² COR'!$I$29</definedName>
    <definedName function="false" hidden="false" localSheetId="12" name="JORNADA_MES_ESQ_EXTERNA_ENC" vbProcedure="false">#REF!</definedName>
    <definedName function="false" hidden="false" localSheetId="12" name="JORNADA_MES_ESQ_EXTERNA_SERV" vbProcedure="false">'CUSTO M² COR'!$F$29</definedName>
    <definedName function="false" hidden="false" localSheetId="12" name="VALOR_LIMITES_AREA_EXTERNA" vbProcedure="false">'CUSTO M² COR'!$H$41</definedName>
    <definedName function="false" hidden="false" localSheetId="12" name="VALOR_LIMITES_AREA_INTERNA" vbProcedure="false">'CUSTO M² COR'!$H$38</definedName>
    <definedName function="false" hidden="false" localSheetId="12" name="VALOR_LIMITES_ESQ_EXTERNA" vbProcedure="false">'CUSTO M² COR'!$H$44</definedName>
    <definedName function="false" hidden="false" localSheetId="12" name="VALOR_LIMITE_CONTRATACAO_POR_AREA" vbProcedure="false">'CUSTO M² COR'!$H$46</definedName>
    <definedName function="false" hidden="false" localSheetId="13" name="AL_1_A_SAL_BASE_SERV" vbProcedure="false">'SERVENTE PP'!$F$21</definedName>
    <definedName function="false" hidden="false" localSheetId="13" name="AL_1_C_OUTROS_REM_1_SERV" vbProcedure="false">'SERVENTE PP'!$F$23</definedName>
    <definedName function="false" hidden="false" localSheetId="13" name="AL_1_D_OUTROS_REM_2_SERV" vbProcedure="false">'SERVENTE PP'!$F$24</definedName>
    <definedName function="false" hidden="false" localSheetId="13" name="AL_1_E_OUTROS_REM_3_ENC" vbProcedure="false">ENCARREGADO!$F$25</definedName>
    <definedName function="false" hidden="false" localSheetId="13" name="AL_1_E_OUTROS_REM_3_SERV" vbProcedure="false">'SERVENTE PP'!$F$25</definedName>
    <definedName function="false" hidden="false" localSheetId="13" name="AL_2_1_A_DEC_TERC_ENC" vbProcedure="false">ENCARREGADO!$F$30</definedName>
    <definedName function="false" hidden="false" localSheetId="13" name="AL_2_1_B_ADIC_FERIAS_SERV" vbProcedure="false">'SERVENTE PP'!$F$31</definedName>
    <definedName function="false" hidden="false" localSheetId="13" name="AL_2_2_FGTS_SERV" vbProcedure="false">'SERVENTE PP'!$F$42</definedName>
    <definedName function="false" hidden="false" localSheetId="13" name="AL_2_3_A_TRANSP_SERV" vbProcedure="false">'SERVENTE PP'!$F$46</definedName>
    <definedName function="false" hidden="false" localSheetId="13" name="AL_2_3_B_AUX_ALIMENT_SERV" vbProcedure="false">'SERVENTE PP'!$F$47</definedName>
    <definedName function="false" hidden="false" localSheetId="13" name="AL_2_3_C_OUTROS_BENEF_1_SERV" vbProcedure="false">'SERVENTE PP'!$F$48</definedName>
    <definedName function="false" hidden="false" localSheetId="13" name="AL_2_A_ATE_2_G_GPS_SERV" vbProcedure="false">'SERVENTE PP'!$F$35:$F$41</definedName>
    <definedName function="false" hidden="false" localSheetId="13" name="AL_6_A_CUSTOS_INDIRETOS_SERV" vbProcedure="false">'SERVENTE PP'!$F$84</definedName>
    <definedName function="false" hidden="false" localSheetId="13" name="AL_6_B_LUCRO_SERV" vbProcedure="false">'SERVENTE PP'!$F$85</definedName>
    <definedName function="false" hidden="false" localSheetId="13" name="AL_6_C_1_PIS_SERV" vbProcedure="false">'SERVENTE PP'!$F$87</definedName>
    <definedName function="false" hidden="false" localSheetId="13" name="AL_6_C_2_COFINS_SERV" vbProcedure="false">'SERVENTE PP'!$F$88</definedName>
    <definedName function="false" hidden="false" localSheetId="13" name="AL_6_C_3_ISS_SERV" vbProcedure="false">'SERVENTE PP'!$F$89</definedName>
    <definedName function="false" hidden="false" localSheetId="13" name="AL_6_C_TRIBUTOS_SERV" vbProcedure="false">'SERVENTE PP'!$F$86</definedName>
    <definedName function="false" hidden="false" localSheetId="13" name="MOD_1_REMUNERACAO_SERV" vbProcedure="false">'SERVENTE PP'!$F$26</definedName>
    <definedName function="false" hidden="false" localSheetId="13" name="MOD_2_ENCARGOS_BENEFICIOS_SERV" vbProcedure="false">'SERVENTE PP'!$F$32+'SERVENTE PP'!$F$43+'SERVENTE PP'!$F$51</definedName>
    <definedName function="false" hidden="false" localSheetId="13" name="MOD_3_PROVISAO_RESCISAO_SERV" vbProcedure="false">'SERVENTE PP'!$F$60</definedName>
    <definedName function="false" hidden="false" localSheetId="13" name="MOD_4_CUSTO_REPOSICAO_SERV" vbProcedure="false">'SERVENTE PP'!$F$70+'SERVENTE PP'!$F$74</definedName>
    <definedName function="false" hidden="false" localSheetId="13" name="MOD_5_INSUMOS_SERV" vbProcedure="false">'SERVENTE PP'!$F$81</definedName>
    <definedName function="false" hidden="false" localSheetId="13" name="MOD_6_CUSTOS_IND_LUCRO_TRIB_SERV" vbProcedure="false">'SERVENTE PP'!$F$90</definedName>
    <definedName function="false" hidden="false" localSheetId="13" name="PERC_MOD_3_PROVISAO_RESCISAO" vbProcedure="false">'SERVENTE PP'!$E$60</definedName>
    <definedName function="false" hidden="false" localSheetId="13" name="PERC_TRIBUTOS" vbProcedure="false">'SERVENTE PP'!$E$86</definedName>
    <definedName function="false" hidden="false" localSheetId="13" name="SUBMOD_2_1_DEC_TERC_ADIC_FERIAS_SERV" vbProcedure="false">'SERVENTE PP'!$F$32</definedName>
    <definedName function="false" hidden="false" localSheetId="13" name="SUBMOD_2_2_GPS_FGTS_SERV" vbProcedure="false">'SERVENTE PP'!$F$43</definedName>
    <definedName function="false" hidden="false" localSheetId="13" name="SUBMOD_2_3_BENEFICIOS_SERV" vbProcedure="false">'SERVENTE PP'!$F$51</definedName>
    <definedName function="false" hidden="false" localSheetId="13" name="SUBMOD_4_1_SUBSTITUTO_SERV" vbProcedure="false">'SERVENTE PP'!$F$70</definedName>
    <definedName function="false" hidden="false" localSheetId="13" name="SUBMOD_4_2_INTRAJORNADA_SERV" vbProcedure="false">'SERVENTE PP'!$F$74</definedName>
    <definedName function="false" hidden="false" localSheetId="13" name="VALOR_TOTAL_SERV" vbProcedure="false">'SERVENTE PP'!$F$99</definedName>
    <definedName function="false" hidden="false" localSheetId="13" name="VALOR_TOTAL_SERV_HOSP" vbProcedure="false">#REF!</definedName>
    <definedName function="false" hidden="false" localSheetId="14" name="COEF_KI_ESQ_EXTERNA_ENC" vbProcedure="false">#REF!</definedName>
    <definedName function="false" hidden="false" localSheetId="14" name="COEF_KI_ESQ_EXTERNA_SERV" vbProcedure="false">'CUSTO M² PP'!$G$29</definedName>
    <definedName function="false" hidden="false" localSheetId="14" name="CUSTO_M2_AREA_EXTERNA_ENC" vbProcedure="false">#REF!</definedName>
    <definedName function="false" hidden="false" localSheetId="14" name="CUSTO_M2_AREA_INTERNA" vbProcedure="false">#REF!</definedName>
    <definedName function="false" hidden="false" localSheetId="14" name="CUSTO_M2_AREA_INTERNA_ENC" vbProcedure="false">#REF!</definedName>
    <definedName function="false" hidden="false" localSheetId="14" name="CUSTO_M2_ESQ_EXTERNA" vbProcedure="false">#REF!</definedName>
    <definedName function="false" hidden="false" localSheetId="14" name="CUSTO_M2_ESQ_EXTERNA_ENC" vbProcedure="false">#REF!</definedName>
    <definedName function="false" hidden="false" localSheetId="14" name="CUSTO_M2_ESQ_EXTERNA_SERV" vbProcedure="false">'CUSTO M² PP'!$I$29</definedName>
    <definedName function="false" hidden="false" localSheetId="14" name="JORNADA_MES_ESQ_EXTERNA_ENC" vbProcedure="false">#REF!</definedName>
    <definedName function="false" hidden="false" localSheetId="14" name="JORNADA_MES_ESQ_EXTERNA_SERV" vbProcedure="false">'CUSTO M² PP'!$F$29</definedName>
    <definedName function="false" hidden="false" localSheetId="14" name="VALOR_LIMITES_AREA_EXTERNA" vbProcedure="false">'CUSTO M² PP'!$H$41</definedName>
    <definedName function="false" hidden="false" localSheetId="14" name="VALOR_LIMITES_AREA_INTERNA" vbProcedure="false">'CUSTO M² PP'!$H$38</definedName>
    <definedName function="false" hidden="false" localSheetId="14" name="VALOR_LIMITES_ESQ_EXTERNA" vbProcedure="false">'CUSTO M² PP'!$H$44</definedName>
    <definedName function="false" hidden="false" localSheetId="14" name="VALOR_LIMITE_CONTRATACAO_POR_AREA" vbProcedure="false">'CUSTO M² PP'!$H$46</definedName>
    <definedName function="false" hidden="false" localSheetId="15" name="AL_1_A_SAL_BASE_SERV" vbProcedure="false">'SERVENTE NAV'!$F$21</definedName>
    <definedName function="false" hidden="false" localSheetId="15" name="AL_1_C_OUTROS_REM_1_SERV" vbProcedure="false">'SERVENTE NAV'!$F$23</definedName>
    <definedName function="false" hidden="false" localSheetId="15" name="AL_1_D_OUTROS_REM_2_SERV" vbProcedure="false">'SERVENTE NAV'!$F$24</definedName>
    <definedName function="false" hidden="false" localSheetId="15" name="AL_1_E_OUTROS_REM_3_ENC" vbProcedure="false">ENCARREGADO!$F$25</definedName>
    <definedName function="false" hidden="false" localSheetId="15" name="AL_1_E_OUTROS_REM_3_SERV" vbProcedure="false">'SERVENTE NAV'!$F$25</definedName>
    <definedName function="false" hidden="false" localSheetId="15" name="AL_2_1_A_DEC_TERC_ENC" vbProcedure="false">ENCARREGADO!$F$30</definedName>
    <definedName function="false" hidden="false" localSheetId="15" name="AL_2_1_B_ADIC_FERIAS_SERV" vbProcedure="false">'SERVENTE NAV'!$F$31</definedName>
    <definedName function="false" hidden="false" localSheetId="15" name="AL_2_2_FGTS_SERV" vbProcedure="false">'SERVENTE NAV'!$F$42</definedName>
    <definedName function="false" hidden="false" localSheetId="15" name="AL_2_3_A_TRANSP_SERV" vbProcedure="false">'SERVENTE NAV'!$F$46</definedName>
    <definedName function="false" hidden="false" localSheetId="15" name="AL_2_3_B_AUX_ALIMENT_SERV" vbProcedure="false">'SERVENTE NAV'!$F$47</definedName>
    <definedName function="false" hidden="false" localSheetId="15" name="AL_2_3_C_OUTROS_BENEF_1_SERV" vbProcedure="false">'SERVENTE NAV'!$F$48</definedName>
    <definedName function="false" hidden="false" localSheetId="15" name="AL_2_A_ATE_2_G_GPS_SERV" vbProcedure="false">'SERVENTE NAV'!$F$35:$F$41</definedName>
    <definedName function="false" hidden="false" localSheetId="15" name="AL_6_A_CUSTOS_INDIRETOS_SERV" vbProcedure="false">'SERVENTE NAV'!$F$84</definedName>
    <definedName function="false" hidden="false" localSheetId="15" name="AL_6_B_LUCRO_SERV" vbProcedure="false">'SERVENTE NAV'!$F$85</definedName>
    <definedName function="false" hidden="false" localSheetId="15" name="AL_6_C_1_PIS_SERV" vbProcedure="false">'SERVENTE NAV'!$F$87</definedName>
    <definedName function="false" hidden="false" localSheetId="15" name="AL_6_C_2_COFINS_SERV" vbProcedure="false">'SERVENTE NAV'!$F$88</definedName>
    <definedName function="false" hidden="false" localSheetId="15" name="AL_6_C_3_ISS_SERV" vbProcedure="false">'SERVENTE NAV'!$F$89</definedName>
    <definedName function="false" hidden="false" localSheetId="15" name="AL_6_C_TRIBUTOS_SERV" vbProcedure="false">'SERVENTE NAV'!$F$86</definedName>
    <definedName function="false" hidden="false" localSheetId="15" name="MOD_1_REMUNERACAO_SERV" vbProcedure="false">'SERVENTE NAV'!$F$26</definedName>
    <definedName function="false" hidden="false" localSheetId="15" name="MOD_2_ENCARGOS_BENEFICIOS_SERV" vbProcedure="false">'SERVENTE NAV'!$F$32+'SERVENTE NAV'!$F$43+'SERVENTE NAV'!$F$51</definedName>
    <definedName function="false" hidden="false" localSheetId="15" name="MOD_3_PROVISAO_RESCISAO_SERV" vbProcedure="false">'SERVENTE NAV'!$F$60</definedName>
    <definedName function="false" hidden="false" localSheetId="15" name="MOD_4_CUSTO_REPOSICAO_SERV" vbProcedure="false">'SERVENTE NAV'!$F$70+'SERVENTE NAV'!$F$74</definedName>
    <definedName function="false" hidden="false" localSheetId="15" name="MOD_5_INSUMOS_SERV" vbProcedure="false">'SERVENTE NAV'!$F$81</definedName>
    <definedName function="false" hidden="false" localSheetId="15" name="MOD_6_CUSTOS_IND_LUCRO_TRIB_SERV" vbProcedure="false">'SERVENTE NAV'!$F$90</definedName>
    <definedName function="false" hidden="false" localSheetId="15" name="PERC_MOD_3_PROVISAO_RESCISAO" vbProcedure="false">'SERVENTE NAV'!$E$60</definedName>
    <definedName function="false" hidden="false" localSheetId="15" name="PERC_TRIBUTOS" vbProcedure="false">'SERVENTE NAV'!$E$86</definedName>
    <definedName function="false" hidden="false" localSheetId="15" name="SUBMOD_2_1_DEC_TERC_ADIC_FERIAS_SERV" vbProcedure="false">'SERVENTE NAV'!$F$32</definedName>
    <definedName function="false" hidden="false" localSheetId="15" name="SUBMOD_2_2_GPS_FGTS_SERV" vbProcedure="false">'SERVENTE NAV'!$F$43</definedName>
    <definedName function="false" hidden="false" localSheetId="15" name="SUBMOD_2_3_BENEFICIOS_SERV" vbProcedure="false">'SERVENTE NAV'!$F$51</definedName>
    <definedName function="false" hidden="false" localSheetId="15" name="SUBMOD_4_1_SUBSTITUTO_SERV" vbProcedure="false">'SERVENTE NAV'!$F$70</definedName>
    <definedName function="false" hidden="false" localSheetId="15" name="SUBMOD_4_2_INTRAJORNADA_SERV" vbProcedure="false">'SERVENTE NAV'!$F$74</definedName>
    <definedName function="false" hidden="false" localSheetId="15" name="VALOR_TOTAL_SERV" vbProcedure="false">'SERVENTE NAV'!$F$99</definedName>
    <definedName function="false" hidden="false" localSheetId="15" name="VALOR_TOTAL_SERV_HOSP" vbProcedure="false">#REF!</definedName>
    <definedName function="false" hidden="false" localSheetId="16" name="COEF_KI_ESQ_EXTERNA_ENC" vbProcedure="false">#REF!</definedName>
    <definedName function="false" hidden="false" localSheetId="16" name="COEF_KI_ESQ_EXTERNA_SERV" vbProcedure="false">'CUSTO M² NAV'!$G$29</definedName>
    <definedName function="false" hidden="false" localSheetId="16" name="CUSTO_M2_AREA_EXTERNA_ENC" vbProcedure="false">#REF!</definedName>
    <definedName function="false" hidden="false" localSheetId="16" name="CUSTO_M2_AREA_INTERNA" vbProcedure="false">#REF!</definedName>
    <definedName function="false" hidden="false" localSheetId="16" name="CUSTO_M2_AREA_INTERNA_ENC" vbProcedure="false">#REF!</definedName>
    <definedName function="false" hidden="false" localSheetId="16" name="CUSTO_M2_ESQ_EXTERNA" vbProcedure="false">#REF!</definedName>
    <definedName function="false" hidden="false" localSheetId="16" name="CUSTO_M2_ESQ_EXTERNA_ENC" vbProcedure="false">#REF!</definedName>
    <definedName function="false" hidden="false" localSheetId="16" name="CUSTO_M2_ESQ_EXTERNA_SERV" vbProcedure="false">'CUSTO M² NAV'!$I$29</definedName>
    <definedName function="false" hidden="false" localSheetId="16" name="JORNADA_MES_ESQ_EXTERNA_ENC" vbProcedure="false">#REF!</definedName>
    <definedName function="false" hidden="false" localSheetId="16" name="JORNADA_MES_ESQ_EXTERNA_SERV" vbProcedure="false">'CUSTO M² NAV'!$F$29</definedName>
    <definedName function="false" hidden="false" localSheetId="16" name="VALOR_LIMITES_AREA_EXTERNA" vbProcedure="false">'CUSTO M² NAV'!$H$41</definedName>
    <definedName function="false" hidden="false" localSheetId="16" name="VALOR_LIMITES_AREA_INTERNA" vbProcedure="false">'CUSTO M² NAV'!$H$38</definedName>
    <definedName function="false" hidden="false" localSheetId="16" name="VALOR_LIMITES_ESQ_EXTERNA" vbProcedure="false">'CUSTO M² NAV'!$H$44</definedName>
    <definedName function="false" hidden="false" localSheetId="16" name="VALOR_LIMITE_CONTRATACAO_POR_AREA" vbProcedure="false">'CUSTO M² NAV'!$H$46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<sst xmlns="http://schemas.openxmlformats.org/spreadsheetml/2006/main" count="2437" uniqueCount="543">
  <si>
    <t xml:space="preserve">RAMO: MINISTÉRIO PÚBLICO FEDERAL</t>
  </si>
  <si>
    <t xml:space="preserve">UNIDADE GESTORA (SIGLA): PRMS</t>
  </si>
  <si>
    <t xml:space="preserve">DATA:</t>
  </si>
  <si>
    <t xml:space="preserve">CUSTOS REFERENTES A SERVIÇOS DE LIMPEZA E CONSERVAÇÃO</t>
  </si>
  <si>
    <t xml:space="preserve">Dados referentes à licitação</t>
  </si>
  <si>
    <t xml:space="preserve">Nº do Processo </t>
  </si>
  <si>
    <t xml:space="preserve">1.21.000.000696/2019-15</t>
  </si>
  <si>
    <t xml:space="preserve">Modalidade de Licitação nº (XX/AAAA)</t>
  </si>
  <si>
    <t xml:space="preserve">Pregão nº</t>
  </si>
  <si>
    <t xml:space="preserve">03/2019</t>
  </si>
  <si>
    <t xml:space="preserve">Data / Horário</t>
  </si>
  <si>
    <t xml:space="preserve">18/12/2019</t>
  </si>
  <si>
    <t xml:space="preserve">10:30</t>
  </si>
  <si>
    <t xml:space="preserve">Dados referentes à contratação</t>
  </si>
  <si>
    <t xml:space="preserve">A</t>
  </si>
  <si>
    <t xml:space="preserve">Data de Apresentação da Proposta (DD/MM/AAAA)</t>
  </si>
  <si>
    <t xml:space="preserve">XX/XX/20XX</t>
  </si>
  <si>
    <t xml:space="preserve">B</t>
  </si>
  <si>
    <t xml:space="preserve">Local de Execução (Sede, Anexo I ou II, PTM, PRM)</t>
  </si>
  <si>
    <t xml:space="preserve">C</t>
  </si>
  <si>
    <t xml:space="preserve">Unidade da Federação</t>
  </si>
  <si>
    <t xml:space="preserve">MS</t>
  </si>
  <si>
    <t xml:space="preserve">D</t>
  </si>
  <si>
    <t xml:space="preserve">Acordo, Conv. ou Sentença Normativa em Dissídio Coletivo (MM/AAAA)</t>
  </si>
  <si>
    <t xml:space="preserve">01/2019</t>
  </si>
  <si>
    <t xml:space="preserve">E</t>
  </si>
  <si>
    <t xml:space="preserve">Número de Meses de Execução Contratual</t>
  </si>
  <si>
    <t xml:space="preserve">Identificação do serviço</t>
  </si>
  <si>
    <t xml:space="preserve">Item</t>
  </si>
  <si>
    <t xml:space="preserve">Tipo de Serviço</t>
  </si>
  <si>
    <t xml:space="preserve">Adic. Insalub.?</t>
  </si>
  <si>
    <t xml:space="preserve">Qtde a Contratar</t>
  </si>
  <si>
    <t xml:space="preserve">Salário Normat. (em R$)</t>
  </si>
  <si>
    <t xml:space="preserve">1</t>
  </si>
  <si>
    <t xml:space="preserve">Encarregado de Limpeza</t>
  </si>
  <si>
    <t xml:space="preserve">NÃO</t>
  </si>
  <si>
    <t xml:space="preserve">2</t>
  </si>
  <si>
    <t xml:space="preserve">Servente Campo Grande</t>
  </si>
  <si>
    <t xml:space="preserve">3</t>
  </si>
  <si>
    <t xml:space="preserve">Servente Unidades do interior</t>
  </si>
  <si>
    <t xml:space="preserve">Mão de obra</t>
  </si>
  <si>
    <t xml:space="preserve">Tipo de Serviço (mesmo serviço com características distintas)</t>
  </si>
  <si>
    <t xml:space="preserve">Limpeza e Conservação</t>
  </si>
  <si>
    <t xml:space="preserve">Classificação Brasileira de Ocupações (CBO)</t>
  </si>
  <si>
    <t xml:space="preserve">5143-20</t>
  </si>
  <si>
    <t xml:space="preserve">Data-Base da Categoria (DD/MM/AAAA)</t>
  </si>
  <si>
    <t xml:space="preserve">Salário Mínimo vigente no país (em R$)</t>
  </si>
  <si>
    <t xml:space="preserve">CUSTOS POR EMPREGADO</t>
  </si>
  <si>
    <t xml:space="preserve">MÓDULO 1: COMPOSIÇÃO DA REMUNERAÇÃO</t>
  </si>
  <si>
    <t xml:space="preserve">Composição da Remuneração</t>
  </si>
  <si>
    <t xml:space="preserve">Valor / %</t>
  </si>
  <si>
    <t xml:space="preserve">Adicional de Insalubridade (em %)</t>
  </si>
  <si>
    <t xml:space="preserve">Gratificação de função (Apenas para encarregada)</t>
  </si>
  <si>
    <t xml:space="preserve">Outras Remunerações 2 (Especificar)</t>
  </si>
  <si>
    <t xml:space="preserve">Outras Remunerações 3 (Especificar)</t>
  </si>
  <si>
    <t xml:space="preserve">MÓDULO 2: ENCARGOS E BENEFÍCIOS ANUAIS, MENSAIS E DIÁRIOS</t>
  </si>
  <si>
    <t xml:space="preserve">Submódulo 2.3 - Benefícios Mensais e Diários</t>
  </si>
  <si>
    <t xml:space="preserve">2.3</t>
  </si>
  <si>
    <t xml:space="preserve">Benefícios Mensais e Diários</t>
  </si>
  <si>
    <t xml:space="preserve">Frequência</t>
  </si>
  <si>
    <t xml:space="preserve">Valor (em R$)</t>
  </si>
  <si>
    <t xml:space="preserve">Transporte</t>
  </si>
  <si>
    <t xml:space="preserve">A.1</t>
  </si>
  <si>
    <t xml:space="preserve">Campo Grande</t>
  </si>
  <si>
    <t xml:space="preserve">Diária</t>
  </si>
  <si>
    <t xml:space="preserve">A.2</t>
  </si>
  <si>
    <t xml:space="preserve">Dourados</t>
  </si>
  <si>
    <t xml:space="preserve">A.3</t>
  </si>
  <si>
    <t xml:space="preserve">Três Lagoas</t>
  </si>
  <si>
    <t xml:space="preserve">A.4</t>
  </si>
  <si>
    <t xml:space="preserve">Corumbá</t>
  </si>
  <si>
    <t xml:space="preserve">A.5</t>
  </si>
  <si>
    <t xml:space="preserve">Ponta Porã</t>
  </si>
  <si>
    <t xml:space="preserve">A.6</t>
  </si>
  <si>
    <t xml:space="preserve">Naviraí</t>
  </si>
  <si>
    <t xml:space="preserve">Auxílio-Refeição/Alimentação</t>
  </si>
  <si>
    <t xml:space="preserve">Dias Trabalhados no mês (15 dias intercalados ou 22 dias úteis)</t>
  </si>
  <si>
    <t xml:space="preserve">Mensal</t>
  </si>
  <si>
    <t xml:space="preserve">Seguro de vida em grupo</t>
  </si>
  <si>
    <t xml:space="preserve">Assistência social familiar</t>
  </si>
  <si>
    <t xml:space="preserve">F</t>
  </si>
  <si>
    <t xml:space="preserve">Assistência e inclusão social</t>
  </si>
  <si>
    <t xml:space="preserve">MÓDULO 4: CUSTO DE REPOSIÇÃO DO PROFISSIONAL AUSENTE</t>
  </si>
  <si>
    <t xml:space="preserve">Submódulo 4.1 - Substituto nas Ausências Legais</t>
  </si>
  <si>
    <t xml:space="preserve">4.1</t>
  </si>
  <si>
    <t xml:space="preserve">Substituto nas Ausências Legais</t>
  </si>
  <si>
    <t xml:space="preserve">%</t>
  </si>
  <si>
    <t xml:space="preserve">Outras Ausências (Especificar em %)</t>
  </si>
  <si>
    <t xml:space="preserve">Submódulo 4.2 - Substituto na Intrajornada</t>
  </si>
  <si>
    <t xml:space="preserve">4.2</t>
  </si>
  <si>
    <t xml:space="preserve">Substituto na Intrajornada</t>
  </si>
  <si>
    <t xml:space="preserve">% / Minutos</t>
  </si>
  <si>
    <t xml:space="preserve">Hora Extra (em %)</t>
  </si>
  <si>
    <t xml:space="preserve">Tempo de Intervalo para Refeição (em minutos)</t>
  </si>
  <si>
    <t xml:space="preserve">*Não haverá substituto na intrajornada, portanto não deve ser cotado.</t>
  </si>
  <si>
    <t xml:space="preserve">MÓDULO 5: INSUMOS DIVERSOS</t>
  </si>
  <si>
    <t xml:space="preserve">Preencher valores unitários nas planilhas chamadas “UNIFORMES” e “MATERIAIS E EQUIPAMENTOS”</t>
  </si>
  <si>
    <t xml:space="preserve">Insumos Diversos</t>
  </si>
  <si>
    <t xml:space="preserve">Valor (R$)</t>
  </si>
  <si>
    <t xml:space="preserve">MÓDULO 6: CUSTOS INDIRETOS, TRIBUTOS E LUCRO</t>
  </si>
  <si>
    <t xml:space="preserve">Custos Indiretos, Tributos e Lucro (%)</t>
  </si>
  <si>
    <t xml:space="preserve">PRMS CAMPO GRANDE</t>
  </si>
  <si>
    <t xml:space="preserve">PRM DOURADOS</t>
  </si>
  <si>
    <t xml:space="preserve">PRM TRÊS LAGOAS</t>
  </si>
  <si>
    <t xml:space="preserve">PRM CORUMBÁ</t>
  </si>
  <si>
    <t xml:space="preserve">PRM PONTA PORÃ</t>
  </si>
  <si>
    <t xml:space="preserve">PRM NAVIRAÍ</t>
  </si>
  <si>
    <t xml:space="preserve">Custos Indiretos</t>
  </si>
  <si>
    <t xml:space="preserve">Lucro</t>
  </si>
  <si>
    <t xml:space="preserve">C.1</t>
  </si>
  <si>
    <t xml:space="preserve">PIS</t>
  </si>
  <si>
    <t xml:space="preserve">C.2</t>
  </si>
  <si>
    <t xml:space="preserve">Cofins</t>
  </si>
  <si>
    <t xml:space="preserve">C.3</t>
  </si>
  <si>
    <t xml:space="preserve">ISS</t>
  </si>
  <si>
    <t xml:space="preserve">*Preencher Pis e Cofins na coluna PRMS Campo Grande</t>
  </si>
  <si>
    <t xml:space="preserve">OBSERVAÇÃO</t>
  </si>
  <si>
    <t xml:space="preserve">Para mais informações, consulte o Referencial Técnico de Custos, constante da aba PUBLICAÇÕES, na página da Auditoria Interna do MPU na internet (www.auditoria.mpu.mp.br).</t>
  </si>
  <si>
    <t xml:space="preserve">INFORMAÇÕES SOBRE O LOCAL ONDE OS SERVIÇOS DE LIMPEZA E CONSERVAÇÃO SERÃO EXECUTADOS</t>
  </si>
  <si>
    <t xml:space="preserve">PORTARIA VIGENTE À ÉPOCA DA CONTRATAÇÃO Nº</t>
  </si>
  <si>
    <t xml:space="preserve">213/2017</t>
  </si>
  <si>
    <t xml:space="preserve">ÁREAS FÍSICAS A SEREM LIMPAS (em m²)</t>
  </si>
  <si>
    <t xml:space="preserve">PRODUTIVIDADE DO SERVENTE POR METRO QUADRADO 
(2)</t>
  </si>
  <si>
    <t xml:space="preserve">TIPO DE ÁREA
(1)</t>
  </si>
  <si>
    <t xml:space="preserve">ESPECIFICAÇÃO</t>
  </si>
  <si>
    <t xml:space="preserve">EDIFÍCIO-SEDE – CAMPO GRANDE</t>
  </si>
  <si>
    <t xml:space="preserve">PRODUT. 
EDIFÍCIO SEDE CAMPO GRANDE</t>
  </si>
  <si>
    <t xml:space="preserve">PRODUT. 
PRM DOURADOS</t>
  </si>
  <si>
    <t xml:space="preserve">PRODUT. 
PRM TRÊS LAGOAS</t>
  </si>
  <si>
    <t xml:space="preserve">PRODUT. 
PRM CORUMBÁ</t>
  </si>
  <si>
    <t xml:space="preserve">PRODUT. 
PRM PONTA PORÃ</t>
  </si>
  <si>
    <t xml:space="preserve">PRODUT. 
PRM NAVIRAÍ</t>
  </si>
  <si>
    <t xml:space="preserve">FREQUÊNCIA (EM HORAS) (ESQUADRIAS – P/ TODAS AS UNIDADES) (3)</t>
  </si>
  <si>
    <t xml:space="preserve">(A)</t>
  </si>
  <si>
    <t xml:space="preserve">(B)</t>
  </si>
  <si>
    <t xml:space="preserve">(C)</t>
  </si>
  <si>
    <t xml:space="preserve">(D)</t>
  </si>
  <si>
    <t xml:space="preserve">(E)</t>
  </si>
  <si>
    <t xml:space="preserve">(F)</t>
  </si>
  <si>
    <t xml:space="preserve">(G)</t>
  </si>
  <si>
    <t xml:space="preserve">(H)</t>
  </si>
  <si>
    <t xml:space="preserve">(I)</t>
  </si>
  <si>
    <t xml:space="preserve">(J)</t>
  </si>
  <si>
    <t xml:space="preserve">(K)</t>
  </si>
  <si>
    <t xml:space="preserve">(L)</t>
  </si>
  <si>
    <t xml:space="preserve">Área interna</t>
  </si>
  <si>
    <t xml:space="preserve">Pisos frios</t>
  </si>
  <si>
    <t xml:space="preserve">Almoxarifado</t>
  </si>
  <si>
    <t xml:space="preserve">Banheiros</t>
  </si>
  <si>
    <t xml:space="preserve">Área externa</t>
  </si>
  <si>
    <t xml:space="preserve">Áreas verdes</t>
  </si>
  <si>
    <t xml:space="preserve">Passeios, arruamentos e estacionamentos</t>
  </si>
  <si>
    <t xml:space="preserve">Pátios</t>
  </si>
  <si>
    <t xml:space="preserve">Esquadria externa</t>
  </si>
  <si>
    <t xml:space="preserve">Face interna</t>
  </si>
  <si>
    <t xml:space="preserve">Face externa</t>
  </si>
  <si>
    <t xml:space="preserve">QTDE DE SERVENTES/ENCARREGADO (4)</t>
  </si>
  <si>
    <t xml:space="preserve">OBSERVAÇÕES (conforme o Anexo VII-D da IN SEGES/MPDG nº 5/2017)</t>
  </si>
  <si>
    <r>
      <rPr>
        <b val="true"/>
        <sz val="11"/>
        <rFont val="Segoe UI Light"/>
        <family val="2"/>
        <charset val="1"/>
      </rPr>
      <t xml:space="preserve">(1)</t>
    </r>
    <r>
      <rPr>
        <sz val="11"/>
        <rFont val="Segoe UI Light"/>
        <family val="2"/>
        <charset val="1"/>
      </rPr>
      <t xml:space="preserve"> Informadas as metragens reais da unidade de acordo com os tipos de áreas existentes, incluindo PRMs/PTMs, conforme abrangência da contratação.</t>
    </r>
  </si>
  <si>
    <r>
      <rPr>
        <b val="true"/>
        <sz val="11"/>
        <rFont val="Segoe UI Light"/>
        <family val="2"/>
        <charset val="1"/>
      </rPr>
      <t xml:space="preserve">(2) </t>
    </r>
    <r>
      <rPr>
        <sz val="11"/>
        <rFont val="Segoe UI Light"/>
        <family val="2"/>
        <charset val="1"/>
      </rPr>
      <t xml:space="preserve">Caso as produtividades mínimas adotadas sejam diferentes, estes valores das planilhas, bem como os coeficientes deles decorrentes (Ki e Ke), deverão ser adequados à nova situação, observados os limites e condições do edital.</t>
    </r>
  </si>
  <si>
    <r>
      <rPr>
        <b val="true"/>
        <sz val="11"/>
        <rFont val="Segoe UI Light"/>
        <family val="2"/>
        <charset val="1"/>
      </rPr>
      <t xml:space="preserve">(3)</t>
    </r>
    <r>
      <rPr>
        <sz val="11"/>
        <rFont val="Segoe UI Light"/>
        <family val="2"/>
        <charset val="1"/>
      </rPr>
      <t xml:space="preserve"> No caso das esquadrias externas, inserir a frequência de horas mensais. Em relação às fachadas envidraçadas, incluir a frequência de horas semestrais.</t>
    </r>
  </si>
  <si>
    <r>
      <rPr>
        <b val="true"/>
        <sz val="11"/>
        <rFont val="Segoe UI Light"/>
        <family val="2"/>
        <charset val="1"/>
      </rPr>
      <t xml:space="preserve">(4)</t>
    </r>
    <r>
      <rPr>
        <sz val="11"/>
        <rFont val="Segoe UI Light"/>
        <family val="2"/>
        <charset val="1"/>
      </rPr>
      <t xml:space="preserve"> Caso a relação entre serventes e encarregados seja diferente, os valores das planilhas, bem como os coeficientes deles decorrentes (Ki e Ke), deverão ser adequados à nova situação. </t>
    </r>
  </si>
  <si>
    <t xml:space="preserve">DADOS ESTATÍSTICOS</t>
  </si>
  <si>
    <t xml:space="preserve">Dias / Horas / Minutos</t>
  </si>
  <si>
    <t xml:space="preserve">Divisor de Horas (em horas)</t>
  </si>
  <si>
    <t xml:space="preserve">Dias na Semana</t>
  </si>
  <si>
    <t xml:space="preserve">Dias no Ano</t>
  </si>
  <si>
    <t xml:space="preserve">Média Anual de Dias Trabalhados no Mês</t>
  </si>
  <si>
    <t xml:space="preserve">Meses no Ano </t>
  </si>
  <si>
    <t xml:space="preserve">Meses no Semestre</t>
  </si>
  <si>
    <t xml:space="preserve">G</t>
  </si>
  <si>
    <t xml:space="preserve">Hora Normal (em minutos)</t>
  </si>
  <si>
    <t xml:space="preserve">H</t>
  </si>
  <si>
    <t xml:space="preserve">Carga Horária Semanal (em horas)</t>
  </si>
  <si>
    <t xml:space="preserve">Dias / %</t>
  </si>
  <si>
    <t xml:space="preserve">Desconto Remuneração Transporte</t>
  </si>
  <si>
    <t xml:space="preserve">MÓDULO 3: PROVISÃO PARA RESCISÃO</t>
  </si>
  <si>
    <t xml:space="preserve">Provisão para Rescisão</t>
  </si>
  <si>
    <t xml:space="preserve">Faxineiros demitidos sem justa causa / Total de desligamentos (em %)</t>
  </si>
  <si>
    <t xml:space="preserve">Empregados que recebem aviso prévio indenizado (em %)</t>
  </si>
  <si>
    <t xml:space="preserve">Multa do FGTS (em %)</t>
  </si>
  <si>
    <t xml:space="preserve">Contribuição Social (em %)</t>
  </si>
  <si>
    <t xml:space="preserve">Empregados que recebem aviso prévio trabalhado (em %)</t>
  </si>
  <si>
    <t xml:space="preserve">Dias no mês</t>
  </si>
  <si>
    <t xml:space="preserve">Dias de Ausências Legais</t>
  </si>
  <si>
    <t xml:space="preserve">Dias de Licença-Paternidade</t>
  </si>
  <si>
    <t xml:space="preserve">Nascidos Vivos / População Feminina (em %)</t>
  </si>
  <si>
    <t xml:space="preserve">Participação Masculina nos Serviços de Limpeza (em %)</t>
  </si>
  <si>
    <t xml:space="preserve">Empregados afastados por acidente de trabalho (em %)</t>
  </si>
  <si>
    <t xml:space="preserve">Dias pagos pela empresa em acidentes de trabalho</t>
  </si>
  <si>
    <t xml:space="preserve">Dias de Licença-Maternidade</t>
  </si>
  <si>
    <t xml:space="preserve">Participação Feminina nos Serviços de Limpeza (em %)</t>
  </si>
  <si>
    <t xml:space="preserve">Submódulo 4.2 - Intrajornada</t>
  </si>
  <si>
    <t xml:space="preserve">Intrajornada</t>
  </si>
  <si>
    <t xml:space="preserve">Minutos / %</t>
  </si>
  <si>
    <t xml:space="preserve">ENCARGOS SOCIAIS E TRABALHISTAS</t>
  </si>
  <si>
    <t xml:space="preserve">Submódulo 2.1 - 13º (décimo terceiro) Salário e Adicional de Férias</t>
  </si>
  <si>
    <t xml:space="preserve">2.1</t>
  </si>
  <si>
    <t xml:space="preserve">13º Salário e Adicional de Férias</t>
  </si>
  <si>
    <t xml:space="preserve">Memória de Cálculo</t>
  </si>
  <si>
    <t xml:space="preserve">13º Salário</t>
  </si>
  <si>
    <t xml:space="preserve">(1/12) x 100</t>
  </si>
  <si>
    <t xml:space="preserve">Adicional de Férias</t>
  </si>
  <si>
    <t xml:space="preserve">[(1/3)/12] x 100</t>
  </si>
  <si>
    <t xml:space="preserve">Submódulo 2.2 - Encargos Previdencários (GPS), Fundo de Garantia por Tempo de Serviço (FGTS) e Outras Contribuições</t>
  </si>
  <si>
    <t xml:space="preserve">2.2</t>
  </si>
  <si>
    <t xml:space="preserve">Encargos Previdenciários (GPS), Fundo de Garantia por Tempo de Serviço (FGTS) e outras contribuições</t>
  </si>
  <si>
    <t xml:space="preserve">INSS</t>
  </si>
  <si>
    <t xml:space="preserve">Salário Educação</t>
  </si>
  <si>
    <t xml:space="preserve">Riscos Ambientas do Trabalho</t>
  </si>
  <si>
    <t xml:space="preserve">SESC</t>
  </si>
  <si>
    <t xml:space="preserve">SENAC</t>
  </si>
  <si>
    <t xml:space="preserve">SEBRAE</t>
  </si>
  <si>
    <t xml:space="preserve">INCRA</t>
  </si>
  <si>
    <t xml:space="preserve">FGTS</t>
  </si>
  <si>
    <t xml:space="preserve">TOTAL</t>
  </si>
  <si>
    <t xml:space="preserve">Aviso Prévio Indenizado</t>
  </si>
  <si>
    <t xml:space="preserve">[(56,24%) x 5,55% x (1/12)] x 100</t>
  </si>
  <si>
    <t xml:space="preserve">Incidência do FGTS sobre o Aviso Prévio Indenizado</t>
  </si>
  <si>
    <t xml:space="preserve">(8,00% x 0,26%) x 100</t>
  </si>
  <si>
    <t xml:space="preserve">Multa do FGTS e Contribuição Social sobre o Aviso Prévio Indenizado</t>
  </si>
  <si>
    <t xml:space="preserve">[(0,26%) x (40% + 10%) x 8,00%] x 100</t>
  </si>
  <si>
    <t xml:space="preserve">Aviso Prévio Trabalhado</t>
  </si>
  <si>
    <t xml:space="preserve">[(56,24%) x 95,45% x (7/30)/12] x 100</t>
  </si>
  <si>
    <t xml:space="preserve">Incidência de GPS, FGTS e Outras Contribuições sobre Aviso Prévio Trabalhado</t>
  </si>
  <si>
    <t xml:space="preserve">(36,80% x 1,03%) x 100</t>
  </si>
  <si>
    <t xml:space="preserve">Multa do FGTS e Contribuição Social sobre o Aviso Prévio Trabalhado</t>
  </si>
  <si>
    <t xml:space="preserve">[(1,03%) x (40% + 10%) x 8,00%)] x 100</t>
  </si>
  <si>
    <t xml:space="preserve">Substituto na Cobertura de Férias </t>
  </si>
  <si>
    <t xml:space="preserve">(1/12) x 100 </t>
  </si>
  <si>
    <t xml:space="preserve">Substituto na Cobertura de Ausências Legais</t>
  </si>
  <si>
    <t xml:space="preserve">[(8/30)/12] x 100</t>
  </si>
  <si>
    <t xml:space="preserve">Substituto na Cobertura de Licença-Paternidade</t>
  </si>
  <si>
    <t xml:space="preserve">{[(20/30)/12] x 1,416% x 45,22%} x 100</t>
  </si>
  <si>
    <t xml:space="preserve">Substituto na Cobertura de Ausência por Acidente de Trabalho</t>
  </si>
  <si>
    <t xml:space="preserve">[(15/30)/12] x 0,44%} x 100</t>
  </si>
  <si>
    <t xml:space="preserve">Substituto na Cobertura de Afastamento Maternidade</t>
  </si>
  <si>
    <t xml:space="preserve">{[(180/30)/12] x 1,416% x 54,78% x 36,80%} x 100</t>
  </si>
  <si>
    <t xml:space="preserve">CUSTOS REFERENTES AO ENCARREGADO PRMS EM CAMPO GRANDE</t>
  </si>
  <si>
    <t xml:space="preserve">Nº do Processo</t>
  </si>
  <si>
    <t xml:space="preserve">Modalidade de Licitação</t>
  </si>
  <si>
    <t xml:space="preserve">DISCRIMINAÇÃO DOS SERVIÇOS (DADOS REFERENTES À CONTRATAÇÃO)</t>
  </si>
  <si>
    <t xml:space="preserve">Quantidade de Encarregados</t>
  </si>
  <si>
    <t xml:space="preserve">Categoria Profissional (vinculada à execução contratual)</t>
  </si>
  <si>
    <t xml:space="preserve">PLANILHA DE CUSTOS E FORMAÇÃO DE PREÇOS</t>
  </si>
  <si>
    <t xml:space="preserve">Salário-Base</t>
  </si>
  <si>
    <t xml:space="preserve">Adicional de Insalubridade</t>
  </si>
  <si>
    <t xml:space="preserve">Substituto na Cobertura de Intervalo para Repouso e Alimentação</t>
  </si>
  <si>
    <t xml:space="preserve">Uniformes</t>
  </si>
  <si>
    <t xml:space="preserve">Materiais</t>
  </si>
  <si>
    <t xml:space="preserve">Equipamentos</t>
  </si>
  <si>
    <t xml:space="preserve">Outros Insumos</t>
  </si>
  <si>
    <t xml:space="preserve">Custos Indiretos, Tributos e Lucro</t>
  </si>
  <si>
    <t xml:space="preserve">Tributos</t>
  </si>
  <si>
    <t xml:space="preserve">QUADRO RESUMO - CUSTO POR EMPREGADO</t>
  </si>
  <si>
    <t xml:space="preserve">MÓD.</t>
  </si>
  <si>
    <t xml:space="preserve">Mão-de-obra vinculada à execução contratual (valor por empregado)</t>
  </si>
  <si>
    <t xml:space="preserve">Valor    (R$)</t>
  </si>
  <si>
    <t xml:space="preserve">Encargos e Benefícios Anuais, Mensais e Diários</t>
  </si>
  <si>
    <t xml:space="preserve">Custo de Reposição do Profissional Ausente</t>
  </si>
  <si>
    <t xml:space="preserve">VALOR TOTAL DO ENCARREGADO</t>
  </si>
  <si>
    <t xml:space="preserve">CUSTOS REFERENTES AO SERVENTE – PRMS EM CAMPO GRANDE</t>
  </si>
  <si>
    <t xml:space="preserve">Quantidade de Serventes</t>
  </si>
  <si>
    <t xml:space="preserve">VALOR TOTAL DO SERVENTE</t>
  </si>
  <si>
    <t xml:space="preserve">ANEXO VI-B da IN SEGES/MPDG nº 5/2017</t>
  </si>
  <si>
    <t xml:space="preserve">(Produtividades mínimas previstas no item 3, considerando os parâmetros do Anexo VI-B da Instrução Normativa)</t>
  </si>
  <si>
    <t xml:space="preserve">I - PREÇO MENSAL UNITÁRIO POR M² – PRMS EM CAMPO GRANDE</t>
  </si>
  <si>
    <t xml:space="preserve">ÁREA INTERNA – CUSTO POR METRO QUADRADO CONFORME TIPO DE ÁREA</t>
  </si>
  <si>
    <t xml:space="preserve">MÃO DE OBRA</t>
  </si>
  <si>
    <t xml:space="preserve">TIPO DE ÁREA</t>
  </si>
  <si>
    <t xml:space="preserve">PRODUTIVIDADE
(1/m²) (I)</t>
  </si>
  <si>
    <t xml:space="preserve">PREÇO HOMEM-MÊS   ( II )</t>
  </si>
  <si>
    <t xml:space="preserve">SUBTOTAL (R$/m²)
( I ) x ( II )</t>
  </si>
  <si>
    <t xml:space="preserve">ENCARREGADO</t>
  </si>
  <si>
    <t xml:space="preserve">PISOS FRIOS</t>
  </si>
  <si>
    <t xml:space="preserve">SERVENTE</t>
  </si>
  <si>
    <t xml:space="preserve">CUSTO TOTAL M² PISOS FRIOS</t>
  </si>
  <si>
    <t xml:space="preserve">ALMOXARIFADO</t>
  </si>
  <si>
    <t xml:space="preserve">CUSTO TOTAL M² ALMOXARIFADO</t>
  </si>
  <si>
    <t xml:space="preserve">BANHEIROS</t>
  </si>
  <si>
    <t xml:space="preserve">CUSTO TOTAL M² BANHEIROS</t>
  </si>
  <si>
    <t xml:space="preserve">ÁREA EXTERNA - CUSTO POR METRO QUADRADO CONFORME TIPO DE ÁREA</t>
  </si>
  <si>
    <t xml:space="preserve">ÁREAS VERDES</t>
  </si>
  <si>
    <t xml:space="preserve">CUSTO TOTAL M² ÁREAS VERDES</t>
  </si>
  <si>
    <t xml:space="preserve">PASSEIOS, ARRUAMENTOS E ESTACIONAMENTOS</t>
  </si>
  <si>
    <t xml:space="preserve">CUSTO TOTAL M² PASSEIOS, ARRUAMENTOS E ESTACIONAMENTOS</t>
  </si>
  <si>
    <t xml:space="preserve">PÁTIOS</t>
  </si>
  <si>
    <t xml:space="preserve">ESQUADRIA EXTERNA - CUSTO POR METRO QUADRADO CONFORME TIPO DE ÁREA</t>
  </si>
  <si>
    <t xml:space="preserve">FREQUENCIA NO MÊS ( II )
 (EM HORAS) (2)</t>
  </si>
  <si>
    <t xml:space="preserve">JORNADA NO MÊS   ( III )
(EM HORAS)</t>
  </si>
  <si>
    <t xml:space="preserve">COEFICIENTE (Ki)
( I )x( II )x( III )=  ( IV )</t>
  </si>
  <si>
    <t xml:space="preserve">PREÇO HOMEM-MÊS   ( V )</t>
  </si>
  <si>
    <t xml:space="preserve">SUBTOTAL (R$/m²)
( IV )x( V )</t>
  </si>
  <si>
    <t xml:space="preserve">FACE INTERNA</t>
  </si>
  <si>
    <t xml:space="preserve">FACE EXTERNA</t>
  </si>
  <si>
    <t xml:space="preserve">CUSTO POR M² TOTAL - ESQUADRIA EXTERNA – FACE INTERNA</t>
  </si>
  <si>
    <t xml:space="preserve">CUSTO POR M² TOTAL - ESQUADRIA EXTERNA – FACE EXTERNA</t>
  </si>
  <si>
    <t xml:space="preserve">LIMITE MÁXIMO PARA A CONTRATAÇÃO</t>
  </si>
  <si>
    <t xml:space="preserve">ÁREA (m²)</t>
  </si>
  <si>
    <t xml:space="preserve">CUSTO MENSAL ESTIMADO
 (R$/m²)</t>
  </si>
  <si>
    <t xml:space="preserve">LIMITE POR TIPO DE ÁREA (R$)</t>
  </si>
  <si>
    <t xml:space="preserve">TOTAL
(D)</t>
  </si>
  <si>
    <t xml:space="preserve">E = (C X D)</t>
  </si>
  <si>
    <t xml:space="preserve">ÁREA INTERNA</t>
  </si>
  <si>
    <t xml:space="preserve">ÁREA EXTERNA</t>
  </si>
  <si>
    <t xml:space="preserve">ESQUADRIA EXTERNA</t>
  </si>
  <si>
    <t xml:space="preserve">LIMITE MÁXIMO PARA A CONTRATAÇÃO PRMS CAMPO GRANDE</t>
  </si>
  <si>
    <t xml:space="preserve">CUSTOS REFERENTES AO SERVENTE – PRM DE DOURADOS</t>
  </si>
  <si>
    <t xml:space="preserve">I - PREÇO MENSAL UNITÁRIO POR M² PRM DE DOURADOS</t>
  </si>
  <si>
    <t xml:space="preserve">ÁREA EXTERNA – CUSTO POR METRO QUADRADO CONFORME TIPO DE ÁREA</t>
  </si>
  <si>
    <t xml:space="preserve">SERVENTE
(D)</t>
  </si>
  <si>
    <t xml:space="preserve">LIMITE MÁXIMO PARA A CONTRATAÇÃO PRM DE DOURADOS</t>
  </si>
  <si>
    <t xml:space="preserve">CUSTOS REFERENTES AO SERVENTE – PRM DE TRÊS LAGOAS</t>
  </si>
  <si>
    <t xml:space="preserve">I - PREÇO MENSAL UNITÁRIO POR M² PRM DE TRÊS LAGOAS</t>
  </si>
  <si>
    <t xml:space="preserve">LIMITE MÁXIMO PARA A CONTRATAÇÃO PRM DE TRÊS LAGOAS</t>
  </si>
  <si>
    <t xml:space="preserve">CUSTOS REFERENTES AO SERVENTE – PRM DE CORUMBÁ</t>
  </si>
  <si>
    <t xml:space="preserve">I - PREÇO MENSAL UNITÁRIO POR M² PRM DE CORUMBÁ</t>
  </si>
  <si>
    <t xml:space="preserve">LIMITE MÁXIMO PARA A CONTRATAÇÃO PRM DE CORUMBÁ</t>
  </si>
  <si>
    <t xml:space="preserve">CUSTOS REFERENTES AO SERVENTE – PRM DE PONTA PORÃ</t>
  </si>
  <si>
    <t xml:space="preserve">I - PREÇO MENSAL UNITÁRIO POR M² PRM DE PONTA PORÃ</t>
  </si>
  <si>
    <t xml:space="preserve">LIMITE MÁXIMO PARA A CONTRATAÇÃO PRM DE PONTA PORÃ</t>
  </si>
  <si>
    <t xml:space="preserve">CUSTOS REFERENTES AO SERVENTE – PRM DE NAVIRAÍ</t>
  </si>
  <si>
    <t xml:space="preserve">I - PREÇO MENSAL UNITÁRIO POR M² PRM DE NAVIRAÍ</t>
  </si>
  <si>
    <t xml:space="preserve">LIMITE MÁXIMO PARA A CONTRATAÇÃO PRM DE NAVIRAÍ</t>
  </si>
  <si>
    <t xml:space="preserve">ANEXO – ESTIMATIVA DE UNIFORMES PARA A EXECUÇÃO DOS SERVIÇOS</t>
  </si>
  <si>
    <t xml:space="preserve">ITEM
(1)</t>
  </si>
  <si>
    <t xml:space="preserve">ESPECIFICAÇÃO DO UNIFORME</t>
  </si>
  <si>
    <t xml:space="preserve">Unidade de medida</t>
  </si>
  <si>
    <t xml:space="preserve">Quantidade  estimada por entrega ou troca</t>
  </si>
  <si>
    <t xml:space="preserve">Frequência de fornecimento no ano</t>
  </si>
  <si>
    <t xml:space="preserve">Quantidade total anual
(A) x (B)</t>
  </si>
  <si>
    <t xml:space="preserve">Valor referência unitário </t>
  </si>
  <si>
    <t xml:space="preserve">Valor total
(C) x (D) </t>
  </si>
  <si>
    <t xml:space="preserve">Agasalho com ziper na frente e logotipo da empresa (impresso ou bordado)</t>
  </si>
  <si>
    <t xml:space="preserve">Unidade</t>
  </si>
  <si>
    <t xml:space="preserve">Calça com bolsos laterais e traseiros (para servente de limpeza)</t>
  </si>
  <si>
    <t xml:space="preserve">Camiseta  manga curta, com identificação da empresa</t>
  </si>
  <si>
    <t xml:space="preserve">Sapato preto com solado anti-derrapante, adequado ao tipo de trabalho</t>
  </si>
  <si>
    <t xml:space="preserve">Bota de borracha (tipo galocha)</t>
  </si>
  <si>
    <t xml:space="preserve">VALOR TOTAL DE UNIFORMES NO ANO   </t>
  </si>
  <si>
    <t xml:space="preserve">VALOR MENSAL POR FUNCIONÁRIO   VM=VT/12   </t>
  </si>
  <si>
    <r>
      <rPr>
        <b val="true"/>
        <sz val="11"/>
        <rFont val="Segoe UI Light"/>
        <family val="2"/>
        <charset val="1"/>
      </rPr>
      <t xml:space="preserve">(1)</t>
    </r>
    <r>
      <rPr>
        <sz val="11"/>
        <rFont val="Segoe UI Light"/>
        <family val="2"/>
        <charset val="1"/>
      </rPr>
      <t xml:space="preserve"> Informar …</t>
    </r>
  </si>
  <si>
    <r>
      <rPr>
        <b val="true"/>
        <sz val="11"/>
        <rFont val="Segoe UI Light"/>
        <family val="2"/>
        <charset val="1"/>
      </rPr>
      <t xml:space="preserve">(2) …</t>
    </r>
    <r>
      <rPr>
        <sz val="11"/>
        <rFont val="Segoe UI Light"/>
        <family val="2"/>
        <charset val="1"/>
      </rPr>
      <t xml:space="preserve">.</t>
    </r>
  </si>
  <si>
    <r>
      <rPr>
        <b val="true"/>
        <sz val="11"/>
        <rFont val="Segoe UI Light"/>
        <family val="2"/>
        <charset val="1"/>
      </rPr>
      <t xml:space="preserve">(3)</t>
    </r>
    <r>
      <rPr>
        <sz val="11"/>
        <rFont val="Segoe UI Light"/>
        <family val="2"/>
        <charset val="1"/>
      </rPr>
      <t xml:space="preserve"> …</t>
    </r>
  </si>
  <si>
    <r>
      <rPr>
        <b val="true"/>
        <sz val="11"/>
        <rFont val="Segoe UI Light"/>
        <family val="2"/>
        <charset val="1"/>
      </rPr>
      <t xml:space="preserve">(4)</t>
    </r>
    <r>
      <rPr>
        <sz val="11"/>
        <rFont val="Segoe UI Light"/>
        <family val="2"/>
        <charset val="1"/>
      </rPr>
      <t xml:space="preserve"> …</t>
    </r>
  </si>
  <si>
    <t xml:space="preserve">ANEXO – ESTIMATIVA DE MATERIAL DE CONSUMO EMPREGADOS NA EXECUÇÃO DOS SERVIÇOS</t>
  </si>
  <si>
    <t xml:space="preserve">Quantidade mensal estimada de materiais de consumo de limpeza por unidade</t>
  </si>
  <si>
    <t xml:space="preserve">Quantidade total mensal 
G = (A+B...+F)</t>
  </si>
  <si>
    <t xml:space="preserve">Valor  unitário 
</t>
  </si>
  <si>
    <t xml:space="preserve">Valor total
(I) =(G) x (H) </t>
  </si>
  <si>
    <t xml:space="preserve">EDIFÍCIO-SEDE</t>
  </si>
  <si>
    <t xml:space="preserve">Água sanitária</t>
  </si>
  <si>
    <t xml:space="preserve">Galão 5 litros</t>
  </si>
  <si>
    <t xml:space="preserve">Álcool comum</t>
  </si>
  <si>
    <t xml:space="preserve">Litro</t>
  </si>
  <si>
    <t xml:space="preserve">Álcool em gel</t>
  </si>
  <si>
    <t xml:space="preserve">Frasco</t>
  </si>
  <si>
    <t xml:space="preserve">Aromatizante de ar-aerosol para ambiente </t>
  </si>
  <si>
    <t xml:space="preserve">Cera líquida</t>
  </si>
  <si>
    <t xml:space="preserve">Desinfetante bactericida concentrado</t>
  </si>
  <si>
    <t xml:space="preserve">Galao 5 litros</t>
  </si>
  <si>
    <t xml:space="preserve">Escova de nylon manual com cerdas duras</t>
  </si>
  <si>
    <t xml:space="preserve">Esponja dupla face</t>
  </si>
  <si>
    <t xml:space="preserve">Flanela Branca</t>
  </si>
  <si>
    <t xml:space="preserve">Inseticida³</t>
  </si>
  <si>
    <t xml:space="preserve">Fibra de limpeza branca</t>
  </si>
  <si>
    <t xml:space="preserve">Pacote</t>
  </si>
  <si>
    <t xml:space="preserve">Limpa pedra</t>
  </si>
  <si>
    <t xml:space="preserve">Galão de 5 litros</t>
  </si>
  <si>
    <t xml:space="preserve">Limpa vidro</t>
  </si>
  <si>
    <t xml:space="preserve">Limpador geral</t>
  </si>
  <si>
    <t xml:space="preserve">Lustra móveis</t>
  </si>
  <si>
    <t xml:space="preserve">Multi uso limpeza pesada</t>
  </si>
  <si>
    <t xml:space="preserve">Pano de Chão</t>
  </si>
  <si>
    <t xml:space="preserve">Papel higiênico, folhadupla, branco, extrafino, picotado</t>
  </si>
  <si>
    <t xml:space="preserve">Rolo</t>
  </si>
  <si>
    <t xml:space="preserve">Papel toalha branco interfolhado duas dobras</t>
  </si>
  <si>
    <t xml:space="preserve">Pacote mil unidades</t>
  </si>
  <si>
    <t xml:space="preserve">Pasta de limpeza a seco</t>
  </si>
  <si>
    <t xml:space="preserve">Polidor de metal tipo Silvo ou similar</t>
  </si>
  <si>
    <t xml:space="preserve">frasco</t>
  </si>
  <si>
    <t xml:space="preserve">Produto tipo Sapólio em Pó</t>
  </si>
  <si>
    <t xml:space="preserve">Removedor de cera</t>
  </si>
  <si>
    <t xml:space="preserve">Sabão em barra</t>
  </si>
  <si>
    <t xml:space="preserve">Sabão em pó multi-ação</t>
  </si>
  <si>
    <t xml:space="preserve">Quilo</t>
  </si>
  <si>
    <t xml:space="preserve">Sabonete líquido para mãos, cremoso </t>
  </si>
  <si>
    <t xml:space="preserve">Saco para lixo 200 litros – preto</t>
  </si>
  <si>
    <t xml:space="preserve">Pacote cem unidades</t>
  </si>
  <si>
    <t xml:space="preserve">Saco para lixo 100 litros – azul</t>
  </si>
  <si>
    <t xml:space="preserve">Saco para lixo 100 litros – preto</t>
  </si>
  <si>
    <t xml:space="preserve">Saco para lixo 20 litros - preto</t>
  </si>
  <si>
    <t xml:space="preserve">Saco para lixo 40 litros – preto</t>
  </si>
  <si>
    <t xml:space="preserve">Saco para lixo 60 litros - preto</t>
  </si>
  <si>
    <t xml:space="preserve">VALOR TOTAL MENSAL DE MATERIAIS DE CONSUMO   </t>
  </si>
  <si>
    <t xml:space="preserve">NÚMERO TOTAL DE SERVENTES PREVISTO PARA O CONTRATO   </t>
  </si>
  <si>
    <t xml:space="preserve">VALOR MENSAL DOS MATERIAIS DE CONSUMO POR SERVENTE   </t>
  </si>
  <si>
    <t xml:space="preserve">ANEXO – ESTIMATIVA DE MATERIAIS DE CONSUMO DURÁVEIS E UTENSÍLIOS EMPREGADOS NA EXECUÇÃO DOS SERVIÇOS</t>
  </si>
  <si>
    <t xml:space="preserve">Quantidade anual estimada de materiais de consumo duráveis e utensílios</t>
  </si>
  <si>
    <t xml:space="preserve">Quantidade total mensal 
(G) = (A+B...+F)</t>
  </si>
  <si>
    <t xml:space="preserve">Valor total
(I)=(G) x (H) </t>
  </si>
  <si>
    <t xml:space="preserve">Balde plástico com alça (10 ou 20 litros) Unidade</t>
  </si>
  <si>
    <t xml:space="preserve">Desentupidor de pia</t>
  </si>
  <si>
    <t xml:space="preserve">Desentupidor de vaso sanitário</t>
  </si>
  <si>
    <t xml:space="preserve">Disco abrasivo para lustrar para enceradeira industrial (verde)</t>
  </si>
  <si>
    <t xml:space="preserve">Disco abrasivo para limpar (preto) para enceradeira industrial</t>
  </si>
  <si>
    <t xml:space="preserve">Escova de Nylon para Enceradeira Industrial</t>
  </si>
  <si>
    <t xml:space="preserve">Escova para vaso sanitário</t>
  </si>
  <si>
    <t xml:space="preserve">Espanador</t>
  </si>
  <si>
    <t xml:space="preserve">Luva de borracha</t>
  </si>
  <si>
    <t xml:space="preserve">Par</t>
  </si>
  <si>
    <t xml:space="preserve">Mangueira de borracha ¾ 50 metros</t>
  </si>
  <si>
    <t xml:space="preserve">Pá para lixo galvanizada</t>
  </si>
  <si>
    <t xml:space="preserve">Rodo 40 cm Unidade</t>
  </si>
  <si>
    <t xml:space="preserve">Rodo 60 cm Unidade</t>
  </si>
  <si>
    <t xml:space="preserve">Vasculhador para teto</t>
  </si>
  <si>
    <t xml:space="preserve">Vassoura nylon nº 03 Unidade</t>
  </si>
  <si>
    <t xml:space="preserve">Vassoura pelo 40 cm Unidade</t>
  </si>
  <si>
    <t xml:space="preserve">Vassoura tipo gari Unidade</t>
  </si>
  <si>
    <t xml:space="preserve">Extensão Telescopica 6m</t>
  </si>
  <si>
    <t xml:space="preserve">Kit limpa vidro (rodo c/ esponja</t>
  </si>
  <si>
    <t xml:space="preserve">VALOR TOTAL ANUAL DE MATERIAIS DE CONSUMO DURÁVEIS E UTENSÍLIOS   </t>
  </si>
  <si>
    <t xml:space="preserve">VALOR MENSAL   VM= VT/12   </t>
  </si>
  <si>
    <t xml:space="preserve">VALOR MENSAL POR FUNCIONÁRIO   VMF=VM/Nº SERVENTES   </t>
  </si>
  <si>
    <t xml:space="preserve">ANEXO – ESTIMATIVA DE EQUIPAMENTOS  EMPREGADOS NA EXECUÇÃO DOS SERVIÇOS</t>
  </si>
  <si>
    <t xml:space="preserve">Quantidade estimada de equipamentos empregados no serviço por unidade</t>
  </si>
  <si>
    <t xml:space="preserve">Valor  unitário </t>
  </si>
  <si>
    <t xml:space="preserve">Aspirador de pó (capacidade mín. 20L)</t>
  </si>
  <si>
    <t xml:space="preserve">Enceradeira industrial</t>
  </si>
  <si>
    <t xml:space="preserve">Escada de abrir com 07 degraus</t>
  </si>
  <si>
    <t xml:space="preserve">Placa Sinalizadora de piso</t>
  </si>
  <si>
    <t xml:space="preserve">Máquina de lavagem a jato</t>
  </si>
  <si>
    <t xml:space="preserve">Máquina para corte de grama</t>
  </si>
  <si>
    <t xml:space="preserve">Tesoura para corte de grama</t>
  </si>
  <si>
    <t xml:space="preserve">Enxada</t>
  </si>
  <si>
    <t xml:space="preserve">Espátulas</t>
  </si>
  <si>
    <t xml:space="preserve">Rastelo 40 cm</t>
  </si>
  <si>
    <t xml:space="preserve">Carrinho funcional de limpeza</t>
  </si>
  <si>
    <t xml:space="preserve">VALOR TOTAL DOS EQUIPAMENTOS   </t>
  </si>
  <si>
    <t xml:space="preserve">VALOR TOTAL DEPRECIADO (considerando vida útil de 5 anos e valor residual de 20%)  VTD=VTEx0,8   </t>
  </si>
  <si>
    <t xml:space="preserve">VALOR MENSAL   VM= [VTD/(12*5)]   </t>
  </si>
  <si>
    <t xml:space="preserve">NÚMERO ESTIMADO DE SERVENTES   </t>
  </si>
  <si>
    <t xml:space="preserve">VALOR MENSAL POR FUNCIONÁRIO   VMF=VM/Nº FUNC   </t>
  </si>
  <si>
    <t xml:space="preserve">QUADRO RESUMO - VALOR MENSAL DOS SERVIÇOS</t>
  </si>
  <si>
    <t xml:space="preserve">ITEM</t>
  </si>
  <si>
    <t xml:space="preserve">Local da Execução dos Serviços</t>
  </si>
  <si>
    <t xml:space="preserve">Valor mensal do serviço
(R$)</t>
  </si>
  <si>
    <t xml:space="preserve">I</t>
  </si>
  <si>
    <t xml:space="preserve">Área a ser limpa (M²)</t>
  </si>
  <si>
    <t xml:space="preserve">II</t>
  </si>
  <si>
    <t xml:space="preserve">PRM DE DOURADOS</t>
  </si>
  <si>
    <t xml:space="preserve">III</t>
  </si>
  <si>
    <t xml:space="preserve">PRM DE TRÊS LAGOAS</t>
  </si>
  <si>
    <t xml:space="preserve">IV</t>
  </si>
  <si>
    <t xml:space="preserve">PRM DE CORUMBÁ</t>
  </si>
  <si>
    <t xml:space="preserve">V </t>
  </si>
  <si>
    <t xml:space="preserve">PRM DE PONTA PORÃ</t>
  </si>
  <si>
    <t xml:space="preserve">VI</t>
  </si>
  <si>
    <t xml:space="preserve">PRM DE NAVIRAÍ</t>
  </si>
  <si>
    <t xml:space="preserve">VALOR TOTAL MENSAL DOS SERVIÇOS (I+II+III+IV+V+ VI)</t>
  </si>
  <si>
    <t xml:space="preserve">QUADRO RESUMO - ENCARGOS SOCIAIS E TRABALHISTAS EFETIVOS</t>
  </si>
  <si>
    <t xml:space="preserve">Conta</t>
  </si>
  <si>
    <t xml:space="preserve">Servente Dourados</t>
  </si>
  <si>
    <t xml:space="preserve">Servente Três Lagoas</t>
  </si>
  <si>
    <t xml:space="preserve">Servente Corumbá</t>
  </si>
  <si>
    <t xml:space="preserve">Servente Ponta Porã</t>
  </si>
  <si>
    <t xml:space="preserve">Servente Naviraí</t>
  </si>
  <si>
    <t xml:space="preserve">Total de Encargos Sociais e Trabalhistas (A)*</t>
  </si>
  <si>
    <t xml:space="preserve">Remuneração (B)</t>
  </si>
  <si>
    <t xml:space="preserve">Encargos Sociais e Trabalhistas Efetivos (C = A / B)</t>
  </si>
  <si>
    <t xml:space="preserve">* Submódulo 2.1 + Submódulo 2.2 + Módulo 3 + Submódulo 4.1</t>
  </si>
  <si>
    <t xml:space="preserve">LIMITES PARA CONTRATAÇÃO, CONFORME PORTARIAS SEGES/ME (em R$/m²)</t>
  </si>
  <si>
    <t xml:space="preserve">PRMS EM CAMPO GRANDE</t>
  </si>
  <si>
    <t xml:space="preserve">CUSTO MENSAL ESTIMADO</t>
  </si>
  <si>
    <t xml:space="preserve">LIMITE MÍNIMO</t>
  </si>
  <si>
    <t xml:space="preserve">LIMITE MÁXIMO</t>
  </si>
  <si>
    <t xml:space="preserve">Área interna (pisos frios)</t>
  </si>
  <si>
    <t xml:space="preserve">Área externa (pátios)</t>
  </si>
  <si>
    <t xml:space="preserve">Conforme produtividades previstas na Portaria nº 7, de 13 de abril de 2015.</t>
  </si>
  <si>
    <t xml:space="preserve">Atualizado em 21/08/2019</t>
  </si>
  <si>
    <t xml:space="preserve">UF</t>
  </si>
  <si>
    <t xml:space="preserve">A PARTIR DE</t>
  </si>
  <si>
    <t xml:space="preserve">ÁREA
INTERNA</t>
  </si>
  <si>
    <t xml:space="preserve">ÁREA
EXTERNA
(1200 M²)</t>
  </si>
  <si>
    <t xml:space="preserve">ESQUADRIA EXTERNA
(220 M²)</t>
  </si>
  <si>
    <t xml:space="preserve">FACHADA ENVIDRAÇADA
(110 M²)</t>
  </si>
  <si>
    <t xml:space="preserve">M²</t>
  </si>
  <si>
    <t xml:space="preserve">AC</t>
  </si>
  <si>
    <t xml:space="preserve">AL</t>
  </si>
  <si>
    <t xml:space="preserve">AM</t>
  </si>
  <si>
    <t xml:space="preserve">AP</t>
  </si>
  <si>
    <t xml:space="preserve">BA</t>
  </si>
  <si>
    <t xml:space="preserve">CE</t>
  </si>
  <si>
    <t xml:space="preserve">DF</t>
  </si>
  <si>
    <t xml:space="preserve">ES</t>
  </si>
  <si>
    <t xml:space="preserve">GO</t>
  </si>
  <si>
    <t xml:space="preserve">MA</t>
  </si>
  <si>
    <t xml:space="preserve">MG</t>
  </si>
  <si>
    <t xml:space="preserve">MT</t>
  </si>
  <si>
    <t xml:space="preserve">PA</t>
  </si>
  <si>
    <t xml:space="preserve">PB</t>
  </si>
  <si>
    <t xml:space="preserve">PE</t>
  </si>
  <si>
    <t xml:space="preserve">PI</t>
  </si>
  <si>
    <t xml:space="preserve">PR</t>
  </si>
  <si>
    <t xml:space="preserve">RJ</t>
  </si>
  <si>
    <t xml:space="preserve">RN</t>
  </si>
  <si>
    <t xml:space="preserve">RO</t>
  </si>
  <si>
    <t xml:space="preserve">RR</t>
  </si>
  <si>
    <t xml:space="preserve">RS</t>
  </si>
  <si>
    <t xml:space="preserve">SC</t>
  </si>
  <si>
    <t xml:space="preserve">SE</t>
  </si>
  <si>
    <t xml:space="preserve">SP</t>
  </si>
  <si>
    <t xml:space="preserve">TO</t>
  </si>
  <si>
    <t xml:space="preserve">MÉDIA</t>
  </si>
  <si>
    <t xml:space="preserve">MENOR VALOR</t>
  </si>
  <si>
    <t xml:space="preserve">MAIOR VALOR</t>
  </si>
  <si>
    <t xml:space="preserve">Conforme produtividades previstas na Portaria nº 213, de 25 de setembro de 2017.</t>
  </si>
  <si>
    <t xml:space="preserve">FACHADA ENVIDRAÇADA</t>
  </si>
  <si>
    <t xml:space="preserve"> M²</t>
  </si>
  <si>
    <t xml:space="preserve"> MÍN.</t>
  </si>
  <si>
    <t xml:space="preserve"> MÁX.</t>
  </si>
  <si>
    <t xml:space="preserve">QTDE ESTIMADA DE ENCARREGADO</t>
  </si>
  <si>
    <t xml:space="preserve">PRODUTIVIDADE (1/m²)</t>
  </si>
  <si>
    <t xml:space="preserve">QTDE ESTIMADA</t>
  </si>
  <si>
    <t xml:space="preserve">(C) </t>
  </si>
  <si>
    <t xml:space="preserve">D = (B / C), exceto para esquadrias, onde D = (B * C)</t>
  </si>
  <si>
    <t xml:space="preserve">Almoxarifados</t>
  </si>
  <si>
    <t xml:space="preserve">Índice sem arredondamento</t>
  </si>
  <si>
    <t xml:space="preserve">QTDE ESTIMADA DE SERVENTES EM CAMPO GRANDE</t>
  </si>
  <si>
    <t xml:space="preserve">QTDE ESTIMADA DE SERVENTES</t>
  </si>
  <si>
    <t xml:space="preserve">QTDE ESTIMADA DE SERVENTES EM DOURADOS</t>
  </si>
  <si>
    <t xml:space="preserve">QTDE ESTIMADA DE SERVENTES EM TRÊS LAGOAS</t>
  </si>
  <si>
    <t xml:space="preserve">QTDE ESTIMADA DE SERVENTES EM CORUMBÁ</t>
  </si>
  <si>
    <t xml:space="preserve">QTDE ESTIMADA DE SERVENTES EM PONTA PORÃ</t>
  </si>
  <si>
    <t xml:space="preserve">'</t>
  </si>
  <si>
    <t xml:space="preserve">QTDE ESTIMADA DE SERVENTES EM NAVIRAÍ</t>
  </si>
  <si>
    <t xml:space="preserve">QTDE TOTAL ESTIMADA DE FUNCIONÁRIOS EMPREGADOS NA EXECUÇÃO DO CONTRATO</t>
  </si>
  <si>
    <t xml:space="preserve">SERVENTES</t>
  </si>
  <si>
    <t xml:space="preserve">UNIDADE</t>
  </si>
  <si>
    <t xml:space="preserve">TOTAL DE SERVENTES A SEREM DISPONIBILIZADOS</t>
  </si>
  <si>
    <t xml:space="preserve">ENCARREGADOS</t>
  </si>
  <si>
    <t xml:space="preserve">TOTAL DE ENCARREGADOS A SEREM DISPONIBILIZADOS</t>
  </si>
  <si>
    <t xml:space="preserve">Obs: A quantidade estimada de serventes será arredondada para cima em caso de índice menor que 1 (um) inteiro. Se o índice for maior que 1, será arredondado para baixo. Em caso de alteração do número estimado na presente planilha para contratação, deverão ser observadas todas as alterações consequentes nas tabelas de materiais e no custo do metro quadrado do encarregado.</t>
  </si>
</sst>
</file>

<file path=xl/styles.xml><?xml version="1.0" encoding="utf-8"?>
<styleSheet xmlns="http://schemas.openxmlformats.org/spreadsheetml/2006/main">
  <numFmts count="20">
    <numFmt numFmtId="164" formatCode="General"/>
    <numFmt numFmtId="165" formatCode="D/M/YYYY"/>
    <numFmt numFmtId="166" formatCode="@"/>
    <numFmt numFmtId="167" formatCode="#,##0"/>
    <numFmt numFmtId="168" formatCode="#,##0.00"/>
    <numFmt numFmtId="169" formatCode="#,##0.00_);\(#,##0.00\)"/>
    <numFmt numFmtId="170" formatCode="#,##0_);\(#,##0\)"/>
    <numFmt numFmtId="171" formatCode="_-* #,##0.00_-;\-* #,##0.00_-;_-* \-??_-;_-@_-"/>
    <numFmt numFmtId="172" formatCode="#,##0.0"/>
    <numFmt numFmtId="173" formatCode="0.00"/>
    <numFmt numFmtId="174" formatCode="#,##0.00_ ;\-#,##0.00\ "/>
    <numFmt numFmtId="175" formatCode="0.000000000"/>
    <numFmt numFmtId="176" formatCode="0.000000"/>
    <numFmt numFmtId="177" formatCode="0.000000000000"/>
    <numFmt numFmtId="178" formatCode="[$R$-416]\ #,##0.00;[RED]\-[$R$-416]\ #,##0.00"/>
    <numFmt numFmtId="179" formatCode="&quot;R$ &quot;#,##0.00"/>
    <numFmt numFmtId="180" formatCode="0.00%"/>
    <numFmt numFmtId="181" formatCode="DD/MM/YY;@"/>
    <numFmt numFmtId="182" formatCode="0.00000"/>
    <numFmt numFmtId="183" formatCode="#,##0.000000000"/>
  </numFmts>
  <fonts count="41">
    <font>
      <sz val="10"/>
      <name val="Arial"/>
      <family val="2"/>
      <charset val="1"/>
    </font>
    <font>
      <sz val="10"/>
      <name val="Arial"/>
      <family val="0"/>
    </font>
    <font>
      <sz val="10"/>
      <name val="Arial"/>
      <family val="0"/>
    </font>
    <font>
      <sz val="10"/>
      <name val="Arial"/>
      <family val="0"/>
    </font>
    <font>
      <b val="true"/>
      <sz val="18"/>
      <color rgb="FF003366"/>
      <name val="Cambria"/>
      <family val="2"/>
      <charset val="1"/>
    </font>
    <font>
      <b val="true"/>
      <sz val="15"/>
      <color rgb="FF003366"/>
      <name val="Calibri"/>
      <family val="2"/>
      <charset val="1"/>
    </font>
    <font>
      <sz val="11"/>
      <name val="Segoe UI Light"/>
      <family val="2"/>
      <charset val="1"/>
    </font>
    <font>
      <sz val="14"/>
      <name val="Segoe UI Light"/>
      <family val="2"/>
      <charset val="1"/>
    </font>
    <font>
      <sz val="8"/>
      <name val="Segoe UI Light"/>
      <family val="2"/>
      <charset val="1"/>
    </font>
    <font>
      <b val="true"/>
      <sz val="16"/>
      <color rgb="FF632523"/>
      <name val="Segoe UI Light"/>
      <family val="2"/>
      <charset val="1"/>
    </font>
    <font>
      <b val="true"/>
      <sz val="11"/>
      <color rgb="FFFFFFFF"/>
      <name val="Segoe UI Light"/>
      <family val="2"/>
      <charset val="1"/>
    </font>
    <font>
      <b val="true"/>
      <sz val="11"/>
      <name val="Segoe UI Light"/>
      <family val="2"/>
      <charset val="1"/>
    </font>
    <font>
      <b val="true"/>
      <sz val="11"/>
      <color rgb="FF632523"/>
      <name val="Segoe UI Light"/>
      <family val="2"/>
      <charset val="1"/>
    </font>
    <font>
      <sz val="11"/>
      <color rgb="FFFF0000"/>
      <name val="Segoe UI Light"/>
      <family val="2"/>
      <charset val="1"/>
    </font>
    <font>
      <i val="true"/>
      <sz val="10"/>
      <color rgb="FFFFFFFF"/>
      <name val="Segoe UI Light"/>
      <family val="2"/>
      <charset val="1"/>
    </font>
    <font>
      <b val="true"/>
      <sz val="14"/>
      <color rgb="FF953735"/>
      <name val="Segoe UI Light"/>
      <family val="2"/>
      <charset val="1"/>
    </font>
    <font>
      <sz val="11"/>
      <color rgb="FF953735"/>
      <name val="Segoe UI Light"/>
      <family val="2"/>
      <charset val="1"/>
    </font>
    <font>
      <b val="true"/>
      <sz val="18"/>
      <color rgb="FF953735"/>
      <name val="Segoe UI Light"/>
      <family val="2"/>
      <charset val="1"/>
    </font>
    <font>
      <b val="true"/>
      <sz val="10"/>
      <color rgb="FFFFFFFF"/>
      <name val="Segoe UI Light"/>
      <family val="2"/>
      <charset val="1"/>
    </font>
    <font>
      <sz val="11"/>
      <color rgb="FFFFFFFF"/>
      <name val="Segoe UI Light"/>
      <family val="2"/>
      <charset val="1"/>
    </font>
    <font>
      <sz val="10"/>
      <name val="Segoe UI Light"/>
      <family val="2"/>
      <charset val="1"/>
    </font>
    <font>
      <b val="true"/>
      <sz val="10"/>
      <name val="Segoe UI Light"/>
      <family val="2"/>
      <charset val="1"/>
    </font>
    <font>
      <b val="true"/>
      <sz val="12"/>
      <color rgb="FF632523"/>
      <name val="Segoe UI Light"/>
      <family val="2"/>
      <charset val="1"/>
    </font>
    <font>
      <b val="true"/>
      <sz val="20"/>
      <color rgb="FF953735"/>
      <name val="Segoe UI Light"/>
      <family val="2"/>
      <charset val="1"/>
    </font>
    <font>
      <i val="true"/>
      <sz val="10"/>
      <name val="Segoe UI Light"/>
      <family val="2"/>
      <charset val="1"/>
    </font>
    <font>
      <b val="true"/>
      <sz val="14"/>
      <color rgb="FF632523"/>
      <name val="Segoe UI Light"/>
      <family val="2"/>
      <charset val="1"/>
    </font>
    <font>
      <sz val="9"/>
      <name val="Segoe UI Light"/>
      <family val="2"/>
      <charset val="1"/>
    </font>
    <font>
      <b val="true"/>
      <sz val="14"/>
      <color rgb="FF984807"/>
      <name val="Segoe UI Light"/>
      <family val="2"/>
      <charset val="1"/>
    </font>
    <font>
      <b val="true"/>
      <sz val="12"/>
      <color rgb="FF984807"/>
      <name val="Segoe UI Light"/>
      <family val="2"/>
      <charset val="1"/>
    </font>
    <font>
      <sz val="10"/>
      <color rgb="FFFF0000"/>
      <name val="Segoe UI Light"/>
      <family val="2"/>
      <charset val="1"/>
    </font>
    <font>
      <b val="true"/>
      <sz val="11"/>
      <color rgb="FF984807"/>
      <name val="Segoe UI Light"/>
      <family val="2"/>
      <charset val="1"/>
    </font>
    <font>
      <sz val="10"/>
      <color rgb="FF984807"/>
      <name val="Segoe UI Light"/>
      <family val="2"/>
      <charset val="1"/>
    </font>
    <font>
      <sz val="8"/>
      <color rgb="FF984807"/>
      <name val="Segoe UI Light"/>
      <family val="2"/>
      <charset val="1"/>
    </font>
    <font>
      <b val="true"/>
      <sz val="14"/>
      <name val="Segoe UI Light"/>
      <family val="2"/>
      <charset val="1"/>
    </font>
    <font>
      <b val="true"/>
      <sz val="12"/>
      <color rgb="FFFFFFFF"/>
      <name val="Segoe UI Light"/>
      <family val="2"/>
      <charset val="1"/>
    </font>
    <font>
      <sz val="12"/>
      <color rgb="FFFFFFFF"/>
      <name val="Segoe UI Light"/>
      <family val="2"/>
      <charset val="1"/>
    </font>
    <font>
      <sz val="12"/>
      <name val="Segoe UI Light"/>
      <family val="2"/>
      <charset val="1"/>
    </font>
    <font>
      <b val="true"/>
      <sz val="12"/>
      <name val="Segoe UI Light"/>
      <family val="2"/>
      <charset val="1"/>
    </font>
    <font>
      <b val="true"/>
      <i val="true"/>
      <sz val="10"/>
      <name val="Segoe UI Light"/>
      <family val="2"/>
      <charset val="1"/>
    </font>
    <font>
      <b val="true"/>
      <i val="true"/>
      <sz val="10"/>
      <color rgb="FF984807"/>
      <name val="Segoe UI Light"/>
      <family val="2"/>
      <charset val="1"/>
    </font>
    <font>
      <sz val="12"/>
      <name val="Arial"/>
      <family val="2"/>
      <charset val="1"/>
    </font>
  </fonts>
  <fills count="8">
    <fill>
      <patternFill patternType="none"/>
    </fill>
    <fill>
      <patternFill patternType="gray125"/>
    </fill>
    <fill>
      <patternFill patternType="solid">
        <fgColor rgb="FFFFFFFF"/>
        <bgColor rgb="FFF2F2F2"/>
      </patternFill>
    </fill>
    <fill>
      <patternFill patternType="solid">
        <fgColor rgb="FFF79646"/>
        <bgColor rgb="FFFF8080"/>
      </patternFill>
    </fill>
    <fill>
      <patternFill patternType="solid">
        <fgColor rgb="FFFDEADA"/>
        <bgColor rgb="FFF2F2F2"/>
      </patternFill>
    </fill>
    <fill>
      <patternFill patternType="solid">
        <fgColor rgb="FFD55816"/>
        <bgColor rgb="FF984807"/>
      </patternFill>
    </fill>
    <fill>
      <patternFill patternType="solid">
        <fgColor rgb="FFFCD5B5"/>
        <bgColor rgb="FFFDEADA"/>
      </patternFill>
    </fill>
    <fill>
      <patternFill patternType="solid">
        <fgColor rgb="FFFAC090"/>
        <bgColor rgb="FFFCD5B5"/>
      </patternFill>
    </fill>
  </fills>
  <borders count="20">
    <border diagonalUp="false" diagonalDown="false">
      <left/>
      <right/>
      <top/>
      <bottom/>
      <diagonal/>
    </border>
    <border diagonalUp="false" diagonalDown="false">
      <left/>
      <right/>
      <top/>
      <bottom style="thick">
        <color rgb="FF333399"/>
      </bottom>
      <diagonal/>
    </border>
    <border diagonalUp="false" diagonalDown="false">
      <left style="thin">
        <color rgb="FFF2F2F2"/>
      </left>
      <right style="thin">
        <color rgb="FFF2F2F2"/>
      </right>
      <top style="thin">
        <color rgb="FFF2F2F2"/>
      </top>
      <bottom style="thin">
        <color rgb="FFF2F2F2"/>
      </bottom>
      <diagonal/>
    </border>
    <border diagonalUp="false" diagonalDown="false">
      <left style="thin">
        <color rgb="FFF2F2F2"/>
      </left>
      <right/>
      <top style="thin">
        <color rgb="FFF2F2F2"/>
      </top>
      <bottom style="thin">
        <color rgb="FFF2F2F2"/>
      </bottom>
      <diagonal/>
    </border>
    <border diagonalUp="false" diagonalDown="false">
      <left/>
      <right/>
      <top style="thin">
        <color rgb="FFF2F2F2"/>
      </top>
      <bottom style="thin">
        <color rgb="FFF2F2F2"/>
      </bottom>
      <diagonal/>
    </border>
    <border diagonalUp="false" diagonalDown="false">
      <left style="thin">
        <color rgb="FFF2F2F2"/>
      </left>
      <right style="thin">
        <color rgb="FFF2F2F2"/>
      </right>
      <top/>
      <bottom style="thin">
        <color rgb="FFF2F2F2"/>
      </bottom>
      <diagonal/>
    </border>
    <border diagonalUp="false" diagonalDown="false">
      <left/>
      <right style="thin">
        <color rgb="FFF2F2F2"/>
      </right>
      <top style="thin">
        <color rgb="FFF2F2F2"/>
      </top>
      <bottom style="thin">
        <color rgb="FFF2F2F2"/>
      </bottom>
      <diagonal/>
    </border>
    <border diagonalUp="false" diagonalDown="false">
      <left style="hair">
        <color rgb="FFFFFFFF"/>
      </left>
      <right style="hair">
        <color rgb="FFFFFFFF"/>
      </right>
      <top style="hair">
        <color rgb="FFFFFFFF"/>
      </top>
      <bottom style="hair">
        <color rgb="FFFFFFFF"/>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F2F2F2"/>
      </left>
      <right style="thin">
        <color rgb="FFF2F2F2"/>
      </right>
      <top style="thin">
        <color rgb="FFF2F2F2"/>
      </top>
      <bottom/>
      <diagonal/>
    </border>
    <border diagonalUp="false" diagonalDown="false">
      <left/>
      <right style="thin">
        <color rgb="FFF2F2F2"/>
      </right>
      <top/>
      <bottom/>
      <diagonal/>
    </border>
    <border diagonalUp="false" diagonalDown="false">
      <left/>
      <right/>
      <top style="thin">
        <color rgb="FFF2F2F2"/>
      </top>
      <bottom/>
      <diagonal/>
    </border>
    <border diagonalUp="false" diagonalDown="false">
      <left style="thin">
        <color rgb="FFF2F2F2"/>
      </left>
      <right style="thin">
        <color rgb="FFF2F2F2"/>
      </right>
      <top/>
      <bottom/>
      <diagonal/>
    </border>
    <border diagonalUp="false" diagonalDown="false">
      <left/>
      <right/>
      <top/>
      <bottom style="thin">
        <color rgb="FFF2F2F2"/>
      </bottom>
      <diagonal/>
    </border>
    <border diagonalUp="false" diagonalDown="false">
      <left style="thin">
        <color rgb="FFF2F2F2"/>
      </left>
      <right/>
      <top/>
      <bottom style="thin">
        <color rgb="FFF2F2F2"/>
      </bottom>
      <diagonal/>
    </border>
    <border diagonalUp="false" diagonalDown="false">
      <left/>
      <right style="thin">
        <color rgb="FFF2F2F2"/>
      </right>
      <top/>
      <bottom style="thin">
        <color rgb="FFF2F2F2"/>
      </bottom>
      <diagonal/>
    </border>
    <border diagonalUp="false" diagonalDown="false">
      <left style="thin">
        <color rgb="FFF2F2F2"/>
      </left>
      <right/>
      <top/>
      <bottom/>
      <diagonal/>
    </border>
    <border diagonalUp="false" diagonalDown="false">
      <left style="thin">
        <color rgb="FFF2F2F2"/>
      </left>
      <right style="thin">
        <color rgb="FFD3D3D3"/>
      </right>
      <top style="thin">
        <color rgb="FFF2F2F2"/>
      </top>
      <bottom style="thin">
        <color rgb="FFF2F2F2"/>
      </bottom>
      <diagonal/>
    </border>
    <border diagonalUp="false" diagonalDown="false">
      <left style="thin">
        <color rgb="FFD3D3D3"/>
      </left>
      <right style="thin">
        <color rgb="FFD3D3D3"/>
      </right>
      <top style="thin">
        <color rgb="FFF2F2F2"/>
      </top>
      <bottom style="thin">
        <color rgb="FFD3D3D3"/>
      </bottom>
      <diagonal/>
    </border>
    <border diagonalUp="false" diagonalDown="false">
      <left style="thin">
        <color rgb="FFD3D3D3"/>
      </left>
      <right/>
      <top style="thin">
        <color rgb="FFF2F2F2"/>
      </top>
      <bottom style="thin">
        <color rgb="FFD3D3D3"/>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1" applyFont="true" applyBorder="true" applyAlignment="true" applyProtection="false">
      <alignment horizontal="general" vertical="bottom" textRotation="0" wrapText="false" indent="0" shrinkToFit="false"/>
    </xf>
  </cellStyleXfs>
  <cellXfs count="28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true">
      <alignment horizontal="general"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7" fillId="4" borderId="3" xfId="0" applyFont="true" applyBorder="true" applyAlignment="true" applyProtection="true">
      <alignment horizontal="right" vertical="bottom" textRotation="0" wrapText="false" indent="0" shrinkToFit="false"/>
      <protection locked="true" hidden="false"/>
    </xf>
    <xf numFmtId="165" fontId="7" fillId="3" borderId="4" xfId="0" applyFont="true" applyBorder="true" applyAlignment="true" applyProtection="true">
      <alignment horizontal="general" vertical="bottom" textRotation="0" wrapText="false" indent="0" shrinkToFit="false"/>
      <protection locked="false" hidden="false"/>
    </xf>
    <xf numFmtId="164" fontId="9" fillId="2" borderId="0" xfId="0" applyFont="true" applyBorder="true" applyAlignment="true" applyProtection="true">
      <alignment horizontal="center" vertical="bottom" textRotation="0" wrapText="false" indent="0" shrinkToFit="false"/>
      <protection locked="true" hidden="false"/>
    </xf>
    <xf numFmtId="164" fontId="10" fillId="5" borderId="5" xfId="0" applyFont="true" applyBorder="true" applyAlignment="true" applyProtection="true">
      <alignment horizontal="left" vertical="bottom" textRotation="0" wrapText="false" indent="0" shrinkToFit="false"/>
      <protection locked="true" hidden="false"/>
    </xf>
    <xf numFmtId="164" fontId="6" fillId="6" borderId="2" xfId="0" applyFont="true" applyBorder="true" applyAlignment="true" applyProtection="true">
      <alignment horizontal="left"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false" indent="0" shrinkToFit="false"/>
      <protection locked="false" hidden="false"/>
    </xf>
    <xf numFmtId="164" fontId="6" fillId="4" borderId="2" xfId="0" applyFont="true" applyBorder="true" applyAlignment="true" applyProtection="true">
      <alignment horizontal="left" vertical="bottom" textRotation="0" wrapText="false" indent="0" shrinkToFit="false"/>
      <protection locked="true" hidden="false"/>
    </xf>
    <xf numFmtId="164" fontId="6" fillId="3" borderId="2" xfId="0" applyFont="true" applyBorder="true" applyAlignment="true" applyProtection="true">
      <alignment horizontal="right" vertical="bottom" textRotation="0" wrapText="false" indent="0" shrinkToFit="false"/>
      <protection locked="false" hidden="false"/>
    </xf>
    <xf numFmtId="166" fontId="6" fillId="3" borderId="2" xfId="0" applyFont="true" applyBorder="true" applyAlignment="true" applyProtection="true">
      <alignment horizontal="center" vertical="bottom" textRotation="0" wrapText="false" indent="0" shrinkToFit="false"/>
      <protection locked="false" hidden="false"/>
    </xf>
    <xf numFmtId="164" fontId="8" fillId="2" borderId="0" xfId="0" applyFont="true" applyBorder="true" applyAlignment="fals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left" vertical="bottom" textRotation="0" wrapText="false" indent="0" shrinkToFit="false"/>
      <protection locked="true" hidden="false"/>
    </xf>
    <xf numFmtId="166" fontId="6" fillId="2" borderId="0" xfId="0" applyFont="true" applyBorder="true" applyAlignment="true" applyProtection="true">
      <alignment horizontal="center" vertical="bottom" textRotation="0" wrapText="false" indent="0" shrinkToFit="false"/>
      <protection locked="true" hidden="false"/>
    </xf>
    <xf numFmtId="164" fontId="10" fillId="5" borderId="2" xfId="0" applyFont="true" applyBorder="true" applyAlignment="true" applyProtection="true">
      <alignment horizontal="center" vertical="bottom" textRotation="0" wrapText="false" indent="0" shrinkToFit="false"/>
      <protection locked="true" hidden="false"/>
    </xf>
    <xf numFmtId="165" fontId="6" fillId="3" borderId="2" xfId="0" applyFont="true" applyBorder="true" applyAlignment="true" applyProtection="true">
      <alignment horizontal="center" vertical="bottom" textRotation="0" wrapText="false" indent="0" shrinkToFit="false"/>
      <protection locked="false" hidden="false"/>
    </xf>
    <xf numFmtId="164" fontId="10" fillId="5" borderId="2" xfId="0" applyFont="true" applyBorder="true" applyAlignment="true" applyProtection="true">
      <alignment horizontal="center" vertical="center" textRotation="0" wrapText="false" indent="0" shrinkToFit="false"/>
      <protection locked="true" hidden="false"/>
    </xf>
    <xf numFmtId="164" fontId="6" fillId="4" borderId="2" xfId="0" applyFont="true" applyBorder="true" applyAlignment="true" applyProtection="true">
      <alignment horizontal="justify" vertical="center" textRotation="0" wrapText="true" indent="0" shrinkToFit="false"/>
      <protection locked="true" hidden="false"/>
    </xf>
    <xf numFmtId="164" fontId="6" fillId="3" borderId="2" xfId="0" applyFont="true" applyBorder="true" applyAlignment="true" applyProtection="true">
      <alignment horizontal="left" vertical="center" textRotation="0" wrapText="false" indent="0" shrinkToFit="false"/>
      <protection locked="false" hidden="false"/>
    </xf>
    <xf numFmtId="164" fontId="6" fillId="3" borderId="2" xfId="0" applyFont="true" applyBorder="true" applyAlignment="true" applyProtection="true">
      <alignment horizontal="center" vertical="center" textRotation="0" wrapText="false" indent="0" shrinkToFit="false"/>
      <protection locked="false" hidden="false"/>
    </xf>
    <xf numFmtId="164" fontId="6" fillId="4" borderId="2" xfId="0" applyFont="true" applyBorder="true" applyAlignment="true" applyProtection="true">
      <alignment horizontal="left" vertical="center" textRotation="0" wrapText="true" indent="0" shrinkToFit="false"/>
      <protection locked="true" hidden="false"/>
    </xf>
    <xf numFmtId="164" fontId="6" fillId="6" borderId="2" xfId="0" applyFont="true" applyBorder="true" applyAlignment="true" applyProtection="true">
      <alignment horizontal="center" vertical="bottom" textRotation="0" wrapText="false" indent="0" shrinkToFit="false"/>
      <protection locked="true" hidden="false"/>
    </xf>
    <xf numFmtId="164" fontId="8" fillId="2" borderId="0" xfId="0" applyFont="true" applyBorder="false" applyAlignment="true" applyProtection="true">
      <alignment horizontal="center" vertical="center" textRotation="0" wrapText="false" indent="0" shrinkToFit="false"/>
      <protection locked="true" hidden="false"/>
    </xf>
    <xf numFmtId="164" fontId="10" fillId="5" borderId="3" xfId="0" applyFont="true" applyBorder="true" applyAlignment="true" applyProtection="true">
      <alignment horizontal="center" vertical="center" textRotation="0" wrapText="false" indent="0" shrinkToFit="false"/>
      <protection locked="true" hidden="false"/>
    </xf>
    <xf numFmtId="164" fontId="10" fillId="5" borderId="6" xfId="0" applyFont="true" applyBorder="true" applyAlignment="true" applyProtection="true">
      <alignment horizontal="center" vertical="center" textRotation="0" wrapText="true" indent="0" shrinkToFit="false"/>
      <protection locked="true" hidden="false"/>
    </xf>
    <xf numFmtId="164" fontId="10" fillId="5" borderId="3" xfId="0" applyFont="true" applyBorder="true" applyAlignment="true" applyProtection="true">
      <alignment horizontal="center" vertical="center" textRotation="0" wrapText="true" indent="0" shrinkToFit="false"/>
      <protection locked="true" hidden="false"/>
    </xf>
    <xf numFmtId="166" fontId="6" fillId="6" borderId="3" xfId="0" applyFont="true" applyBorder="true" applyAlignment="true" applyProtection="true">
      <alignment horizontal="general" vertical="center" textRotation="0" wrapText="true" indent="0" shrinkToFit="false"/>
      <protection locked="true" hidden="false"/>
    </xf>
    <xf numFmtId="166" fontId="6" fillId="3" borderId="2" xfId="0" applyFont="true" applyBorder="true" applyAlignment="true" applyProtection="true">
      <alignment horizontal="center" vertical="center" textRotation="0" wrapText="true" indent="0" shrinkToFit="false"/>
      <protection locked="fals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8" fontId="6" fillId="3" borderId="3" xfId="0" applyFont="true" applyBorder="true" applyAlignment="true" applyProtection="true">
      <alignment horizontal="general" vertical="center" textRotation="0" wrapText="true" indent="0" shrinkToFit="false"/>
      <protection locked="false" hidden="false"/>
    </xf>
    <xf numFmtId="166" fontId="6" fillId="4" borderId="3" xfId="0" applyFont="true" applyBorder="true" applyAlignment="true" applyProtection="true">
      <alignment horizontal="general" vertical="center" textRotation="0" wrapText="true" indent="0" shrinkToFit="false"/>
      <protection locked="true" hidden="false"/>
    </xf>
    <xf numFmtId="167" fontId="0" fillId="3" borderId="7"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true">
      <alignment horizontal="center" vertical="bottom" textRotation="0" wrapText="false" indent="0" shrinkToFit="false"/>
      <protection locked="true" hidden="false"/>
    </xf>
    <xf numFmtId="164" fontId="6" fillId="4" borderId="2" xfId="0" applyFont="true" applyBorder="true" applyAlignment="true" applyProtection="true">
      <alignment horizontal="general" vertical="bottom" textRotation="0" wrapText="false" indent="0" shrinkToFit="false"/>
      <protection locked="true" hidden="false"/>
    </xf>
    <xf numFmtId="164" fontId="6" fillId="4" borderId="2" xfId="0" applyFont="true" applyBorder="true" applyAlignment="true" applyProtection="true">
      <alignment horizontal="center" vertical="bottom" textRotation="0" wrapText="false" indent="0" shrinkToFit="false"/>
      <protection locked="false" hidden="false"/>
    </xf>
    <xf numFmtId="168" fontId="6" fillId="3" borderId="2" xfId="0" applyFont="true" applyBorder="true" applyAlignment="true" applyProtection="true">
      <alignment horizontal="right" vertical="bottom" textRotation="0" wrapText="false" indent="0" shrinkToFit="false"/>
      <protection locked="false" hidden="false"/>
    </xf>
    <xf numFmtId="164" fontId="10" fillId="2" borderId="0" xfId="0" applyFont="true" applyBorder="true" applyAlignment="true" applyProtection="true">
      <alignment horizontal="center" vertical="bottom" textRotation="0" wrapText="false" indent="0" shrinkToFit="false"/>
      <protection locked="true" hidden="false"/>
    </xf>
    <xf numFmtId="164" fontId="6" fillId="2" borderId="0" xfId="0" applyFont="true" applyBorder="true" applyAlignment="true" applyProtection="true">
      <alignment horizontal="left"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false" applyAlignment="false" applyProtection="true">
      <alignment horizontal="general" vertical="bottom" textRotation="0" wrapText="false" indent="0" shrinkToFit="false"/>
      <protection locked="true" hidden="false"/>
    </xf>
    <xf numFmtId="164" fontId="12" fillId="2" borderId="0" xfId="0" applyFont="true" applyBorder="false" applyAlignment="true" applyProtection="true">
      <alignment horizontal="left" vertical="bottom" textRotation="0" wrapText="false" indent="0" shrinkToFit="false"/>
      <protection locked="true" hidden="false"/>
    </xf>
    <xf numFmtId="169" fontId="6" fillId="2" borderId="0" xfId="0" applyFont="true" applyBorder="true" applyAlignment="true" applyProtection="true">
      <alignment horizontal="right" vertical="bottom" textRotation="0" wrapText="false" indent="0" shrinkToFit="false"/>
      <protection locked="true" hidden="false"/>
    </xf>
    <xf numFmtId="164" fontId="10" fillId="5" borderId="2" xfId="0" applyFont="true" applyBorder="true" applyAlignment="true" applyProtection="true">
      <alignment horizontal="left" vertical="center" textRotation="0" wrapText="true" indent="0" shrinkToFit="false"/>
      <protection locked="true" hidden="false"/>
    </xf>
    <xf numFmtId="164" fontId="10" fillId="5" borderId="2" xfId="0" applyFont="true" applyBorder="true" applyAlignment="true" applyProtection="true">
      <alignment horizontal="center" vertical="center" textRotation="0" wrapText="true" indent="0" shrinkToFit="false"/>
      <protection locked="true" hidden="false"/>
    </xf>
    <xf numFmtId="169" fontId="6" fillId="4" borderId="2" xfId="0" applyFont="true" applyBorder="true" applyAlignment="true" applyProtection="true">
      <alignment horizontal="left" vertical="center" textRotation="0" wrapText="true" indent="0" shrinkToFit="false"/>
      <protection locked="true" hidden="false"/>
    </xf>
    <xf numFmtId="167" fontId="6" fillId="3" borderId="2" xfId="0" applyFont="true" applyBorder="true" applyAlignment="true" applyProtection="true">
      <alignment horizontal="right" vertical="center" textRotation="0" wrapText="true" indent="0" shrinkToFit="false"/>
      <protection locked="false" hidden="false"/>
    </xf>
    <xf numFmtId="169" fontId="6" fillId="3" borderId="2" xfId="0" applyFont="true" applyBorder="true" applyAlignment="true" applyProtection="true">
      <alignment horizontal="left" vertical="center" textRotation="0" wrapText="true" indent="0" shrinkToFit="false"/>
      <protection locked="false" hidden="false"/>
    </xf>
    <xf numFmtId="168" fontId="6" fillId="3" borderId="2" xfId="0" applyFont="true" applyBorder="true" applyAlignment="true" applyProtection="true">
      <alignment horizontal="right" vertical="center" textRotation="0" wrapText="true" indent="0" shrinkToFit="false"/>
      <protection locked="false" hidden="false"/>
    </xf>
    <xf numFmtId="164" fontId="13" fillId="2" borderId="0" xfId="0" applyFont="true" applyBorder="false" applyAlignment="false" applyProtection="true">
      <alignment horizontal="general" vertical="bottom" textRotation="0" wrapText="false" indent="0" shrinkToFit="false"/>
      <protection locked="true" hidden="false"/>
    </xf>
    <xf numFmtId="169" fontId="6" fillId="2" borderId="0" xfId="0" applyFont="true" applyBorder="false" applyAlignment="true" applyProtection="true">
      <alignment horizontal="center" vertical="bottom" textRotation="0" wrapText="false" indent="0" shrinkToFit="false"/>
      <protection locked="true" hidden="false"/>
    </xf>
    <xf numFmtId="164" fontId="10" fillId="5" borderId="6" xfId="0" applyFont="true" applyBorder="true" applyAlignment="true" applyProtection="true">
      <alignment horizontal="center" vertical="center" textRotation="0" wrapText="false" indent="0" shrinkToFit="false"/>
      <protection locked="true" hidden="false"/>
    </xf>
    <xf numFmtId="164" fontId="11" fillId="6" borderId="2" xfId="0" applyFont="true" applyBorder="true" applyAlignment="true" applyProtection="true">
      <alignment horizontal="left" vertical="bottom" textRotation="0" wrapText="false" indent="0" shrinkToFit="false"/>
      <protection locked="true" hidden="false"/>
    </xf>
    <xf numFmtId="169" fontId="6" fillId="3" borderId="2" xfId="0" applyFont="true" applyBorder="true" applyAlignment="true" applyProtection="true">
      <alignment horizontal="right" vertical="center" textRotation="0" wrapText="true" indent="0" shrinkToFit="false"/>
      <protection locked="false" hidden="false"/>
    </xf>
    <xf numFmtId="164" fontId="6" fillId="4" borderId="2" xfId="0" applyFont="true" applyBorder="true" applyAlignment="true" applyProtection="true">
      <alignment horizontal="center" vertical="bottom" textRotation="0" wrapText="false" indent="0" shrinkToFit="false"/>
      <protection locked="true" hidden="false"/>
    </xf>
    <xf numFmtId="170" fontId="6" fillId="3" borderId="2" xfId="0" applyFont="true" applyBorder="true" applyAlignment="true" applyProtection="true">
      <alignment horizontal="right" vertical="center" textRotation="0" wrapText="true" indent="0" shrinkToFit="false"/>
      <protection locked="false" hidden="false"/>
    </xf>
    <xf numFmtId="164" fontId="11" fillId="2" borderId="0" xfId="0" applyFont="true" applyBorder="true" applyAlignment="true" applyProtection="true">
      <alignment horizontal="left" vertical="center" textRotation="0" wrapText="true" indent="0" shrinkToFit="false"/>
      <protection locked="true" hidden="false"/>
    </xf>
    <xf numFmtId="164" fontId="11" fillId="2" borderId="0" xfId="0" applyFont="true" applyBorder="true" applyAlignment="true" applyProtection="true">
      <alignment horizontal="center" vertical="center" textRotation="0" wrapText="true" indent="0" shrinkToFit="false"/>
      <protection locked="true" hidden="false"/>
    </xf>
    <xf numFmtId="169" fontId="11" fillId="2" borderId="0" xfId="0" applyFont="true" applyBorder="true" applyAlignment="true" applyProtection="true">
      <alignment horizontal="center" vertical="center" textRotation="0" wrapText="true" indent="0" shrinkToFit="false"/>
      <protection locked="true" hidden="false"/>
    </xf>
    <xf numFmtId="168" fontId="6" fillId="3" borderId="2" xfId="0" applyFont="true" applyBorder="true" applyAlignment="true" applyProtection="true">
      <alignment horizontal="left" vertical="center" textRotation="0" wrapText="true" indent="0" shrinkToFit="false"/>
      <protection locked="false" hidden="false"/>
    </xf>
    <xf numFmtId="169" fontId="6" fillId="3" borderId="2" xfId="0" applyFont="true" applyBorder="true" applyAlignment="true" applyProtection="true">
      <alignment horizontal="center" vertical="center" textRotation="0" wrapText="true" indent="0" shrinkToFit="false"/>
      <protection locked="false" hidden="false"/>
    </xf>
    <xf numFmtId="164" fontId="10" fillId="5" borderId="2" xfId="0" applyFont="true" applyBorder="true" applyAlignment="true" applyProtection="true">
      <alignment horizontal="left" vertical="center" textRotation="0" wrapText="false" indent="0" shrinkToFit="false"/>
      <protection locked="true" hidden="false"/>
    </xf>
    <xf numFmtId="169" fontId="6" fillId="6" borderId="2" xfId="0" applyFont="true" applyBorder="true" applyAlignment="true" applyProtection="true">
      <alignment horizontal="left" vertical="center" textRotation="0" wrapText="true" indent="0" shrinkToFit="false"/>
      <protection locked="true" hidden="false"/>
    </xf>
    <xf numFmtId="164" fontId="10" fillId="5" borderId="8" xfId="0" applyFont="true" applyBorder="true" applyAlignment="true" applyProtection="true">
      <alignment horizontal="center" vertical="center" textRotation="0" wrapText="false" indent="0" shrinkToFit="false"/>
      <protection locked="true" hidden="false"/>
    </xf>
    <xf numFmtId="164" fontId="13" fillId="2" borderId="0" xfId="0" applyFont="true" applyBorder="false" applyAlignment="true" applyProtection="true">
      <alignment horizontal="general" vertical="bottom" textRotation="0" wrapText="true" indent="0" shrinkToFit="false"/>
      <protection locked="true" hidden="false"/>
    </xf>
    <xf numFmtId="164" fontId="6" fillId="2" borderId="0" xfId="0" applyFont="true" applyBorder="false" applyAlignment="true" applyProtection="true">
      <alignment horizontal="general" vertical="bottom" textRotation="0" wrapText="true" indent="0" shrinkToFit="false"/>
      <protection locked="true" hidden="false"/>
    </xf>
    <xf numFmtId="164" fontId="12" fillId="2" borderId="0" xfId="0" applyFont="true" applyBorder="true" applyAlignment="true" applyProtection="true">
      <alignment horizontal="left" vertical="bottom" textRotation="0" wrapText="true" indent="0" shrinkToFit="false"/>
      <protection locked="true" hidden="false"/>
    </xf>
    <xf numFmtId="164" fontId="13" fillId="2" borderId="0" xfId="0" applyFont="true" applyBorder="false" applyAlignment="true" applyProtection="true">
      <alignment horizontal="center" vertical="bottom" textRotation="0" wrapText="true" indent="0" shrinkToFit="false"/>
      <protection locked="true" hidden="false"/>
    </xf>
    <xf numFmtId="164" fontId="6" fillId="6" borderId="2" xfId="0" applyFont="true" applyBorder="true" applyAlignment="true" applyProtection="true">
      <alignment horizontal="left" vertical="center" textRotation="0" wrapText="true" indent="0" shrinkToFit="false"/>
      <protection locked="true" hidden="false"/>
    </xf>
    <xf numFmtId="169" fontId="6" fillId="3" borderId="2" xfId="0" applyFont="true" applyBorder="true" applyAlignment="true" applyProtection="true">
      <alignment horizontal="general" vertical="center" textRotation="0" wrapText="true" indent="0" shrinkToFit="false"/>
      <protection locked="false" hidden="false"/>
    </xf>
    <xf numFmtId="164" fontId="14" fillId="5" borderId="2" xfId="0" applyFont="true" applyBorder="true" applyAlignment="true" applyProtection="true">
      <alignment horizontal="center" vertical="center" textRotation="0" wrapText="true" indent="0" shrinkToFit="false"/>
      <protection locked="true" hidden="false"/>
    </xf>
    <xf numFmtId="169" fontId="6" fillId="6" borderId="2" xfId="0" applyFont="true" applyBorder="true" applyAlignment="true" applyProtection="true">
      <alignment horizontal="general" vertical="center" textRotation="0" wrapText="true" indent="0" shrinkToFit="false"/>
      <protection locked="false" hidden="false"/>
    </xf>
    <xf numFmtId="169" fontId="6" fillId="4" borderId="2" xfId="0" applyFont="true" applyBorder="true" applyAlignment="true" applyProtection="true">
      <alignment horizontal="general" vertical="center" textRotation="0" wrapText="true" indent="0" shrinkToFit="false"/>
      <protection locked="false" hidden="false"/>
    </xf>
    <xf numFmtId="164" fontId="15" fillId="2" borderId="0" xfId="0" applyFont="true" applyBorder="true" applyAlignment="true" applyProtection="true">
      <alignment horizontal="left" vertical="center" textRotation="0" wrapText="false" indent="0" shrinkToFit="false"/>
      <protection locked="true" hidden="false"/>
    </xf>
    <xf numFmtId="164" fontId="16" fillId="2" borderId="0" xfId="0" applyFont="true" applyBorder="true" applyAlignment="true" applyProtection="true">
      <alignment horizontal="left" vertical="center" textRotation="0" wrapText="true" indent="0" shrinkToFit="false"/>
      <protection locked="true" hidden="false"/>
    </xf>
    <xf numFmtId="169" fontId="16" fillId="2" borderId="0" xfId="0" applyFont="true" applyBorder="true" applyAlignment="true" applyProtection="true">
      <alignment horizontal="center" vertical="center" textRotation="0" wrapText="true" indent="0" shrinkToFit="false"/>
      <protection locked="true" hidden="false"/>
    </xf>
    <xf numFmtId="164" fontId="6" fillId="2" borderId="0" xfId="0" applyFont="true" applyBorder="true" applyAlignment="true" applyProtection="true">
      <alignment horizontal="justify" vertical="center" textRotation="0" wrapText="true" indent="0" shrinkToFit="false"/>
      <protection locked="true" hidden="false"/>
    </xf>
    <xf numFmtId="164" fontId="17" fillId="2" borderId="0" xfId="0" applyFont="true" applyBorder="true" applyAlignment="true" applyProtection="true">
      <alignment horizontal="center" vertical="center" textRotation="0" wrapText="true" indent="0" shrinkToFit="false"/>
      <protection locked="true" hidden="false"/>
    </xf>
    <xf numFmtId="164" fontId="18" fillId="5" borderId="3" xfId="0" applyFont="true" applyBorder="true" applyAlignment="true" applyProtection="true">
      <alignment horizontal="right" vertical="center" textRotation="0" wrapText="true" indent="0" shrinkToFit="false"/>
      <protection locked="true" hidden="false"/>
    </xf>
    <xf numFmtId="166" fontId="6" fillId="3" borderId="2" xfId="0" applyFont="true" applyBorder="true" applyAlignment="true" applyProtection="true">
      <alignment horizontal="center" vertical="center" textRotation="0" wrapText="false" indent="0" shrinkToFit="false"/>
      <protection locked="false" hidden="false"/>
    </xf>
    <xf numFmtId="164" fontId="18" fillId="5" borderId="2" xfId="0" applyFont="true" applyBorder="true" applyAlignment="true" applyProtection="true">
      <alignment horizontal="center" vertical="center" textRotation="0" wrapText="true" indent="0" shrinkToFit="false"/>
      <protection locked="true" hidden="false"/>
    </xf>
    <xf numFmtId="164" fontId="19" fillId="5" borderId="2" xfId="0" applyFont="true" applyBorder="true" applyAlignment="true" applyProtection="true">
      <alignment horizontal="general" vertical="center" textRotation="0" wrapText="false" indent="0" shrinkToFit="false"/>
      <protection locked="true" hidden="false"/>
    </xf>
    <xf numFmtId="168" fontId="6" fillId="3" borderId="2" xfId="0" applyFont="true" applyBorder="true" applyAlignment="true" applyProtection="true">
      <alignment horizontal="center" vertical="center" textRotation="0" wrapText="false" indent="0" shrinkToFit="false"/>
      <protection locked="false" hidden="false"/>
    </xf>
    <xf numFmtId="168" fontId="6" fillId="3" borderId="2" xfId="15" applyFont="true" applyBorder="true" applyAlignment="true" applyProtection="true">
      <alignment horizontal="center" vertical="center" textRotation="0" wrapText="false" indent="0" shrinkToFit="false"/>
      <protection locked="false" hidden="false"/>
    </xf>
    <xf numFmtId="164" fontId="20" fillId="3" borderId="7" xfId="0" applyFont="true" applyBorder="true" applyAlignment="true" applyProtection="false">
      <alignment horizontal="center" vertical="bottom" textRotation="0" wrapText="false" indent="0" shrinkToFit="false"/>
      <protection locked="true" hidden="false"/>
    </xf>
    <xf numFmtId="164" fontId="19" fillId="5" borderId="2" xfId="0" applyFont="true" applyBorder="true" applyAlignment="true" applyProtection="true">
      <alignment horizontal="general" vertical="center" textRotation="0" wrapText="true" indent="0" shrinkToFit="false"/>
      <protection locked="true" hidden="false"/>
    </xf>
    <xf numFmtId="164" fontId="18" fillId="5" borderId="2" xfId="0" applyFont="true" applyBorder="true" applyAlignment="true" applyProtection="true">
      <alignment horizontal="left" vertical="center" textRotation="0" wrapText="true" indent="0" shrinkToFit="false"/>
      <protection locked="true" hidden="false"/>
    </xf>
    <xf numFmtId="164" fontId="6" fillId="6" borderId="2" xfId="0" applyFont="true" applyBorder="true" applyAlignment="true" applyProtection="true">
      <alignment horizontal="center" vertical="center" textRotation="0" wrapText="false" indent="0" shrinkToFit="false"/>
      <protection locked="true" hidden="false"/>
    </xf>
    <xf numFmtId="164" fontId="21" fillId="2" borderId="0" xfId="0" applyFont="true" applyBorder="true" applyAlignment="true" applyProtection="true">
      <alignment horizontal="left" vertical="center" textRotation="0" wrapText="true" indent="0" shrinkToFit="false"/>
      <protection locked="tru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1" fillId="6" borderId="9" xfId="0" applyFont="true" applyBorder="true" applyAlignment="true" applyProtection="true">
      <alignment horizontal="justify" vertical="center" textRotation="0" wrapText="true" indent="0" shrinkToFit="false"/>
      <protection locked="true" hidden="false"/>
    </xf>
    <xf numFmtId="164" fontId="11" fillId="4" borderId="10" xfId="0" applyFont="true" applyBorder="true" applyAlignment="true" applyProtection="true">
      <alignment horizontal="justify" vertical="center" textRotation="0" wrapText="true" indent="0" shrinkToFit="false"/>
      <protection locked="true" hidden="false"/>
    </xf>
    <xf numFmtId="164" fontId="11" fillId="6" borderId="10" xfId="0" applyFont="true" applyBorder="true" applyAlignment="true" applyProtection="true">
      <alignment horizontal="justify" vertical="center" textRotation="0" wrapText="true" indent="0" shrinkToFit="false"/>
      <protection locked="true" hidden="false"/>
    </xf>
    <xf numFmtId="167" fontId="6" fillId="6" borderId="2" xfId="0" applyFont="true" applyBorder="true" applyAlignment="true" applyProtection="true">
      <alignment horizontal="right" vertical="center" textRotation="0" wrapText="true" indent="0" shrinkToFit="false"/>
      <protection locked="true" hidden="false"/>
    </xf>
    <xf numFmtId="167" fontId="6" fillId="4" borderId="2" xfId="0" applyFont="true" applyBorder="true" applyAlignment="true" applyProtection="true">
      <alignment horizontal="right" vertical="center" textRotation="0" wrapText="true" indent="0" shrinkToFit="false"/>
      <protection locked="true" hidden="false"/>
    </xf>
    <xf numFmtId="172" fontId="6" fillId="4" borderId="2" xfId="0" applyFont="true" applyBorder="true" applyAlignment="true" applyProtection="true">
      <alignment horizontal="right" vertical="center" textRotation="0" wrapText="true" indent="0" shrinkToFit="false"/>
      <protection locked="true" hidden="false"/>
    </xf>
    <xf numFmtId="170" fontId="6" fillId="4" borderId="2" xfId="0" applyFont="true" applyBorder="true" applyAlignment="true" applyProtection="true">
      <alignment horizontal="right" vertical="center" textRotation="0" wrapText="true" indent="0" shrinkToFit="false"/>
      <protection locked="true" hidden="false"/>
    </xf>
    <xf numFmtId="169" fontId="6" fillId="6" borderId="2" xfId="0" applyFont="true" applyBorder="true" applyAlignment="true" applyProtection="true">
      <alignment horizontal="right" vertical="center" textRotation="0" wrapText="true" indent="0" shrinkToFit="false"/>
      <protection locked="true" hidden="false"/>
    </xf>
    <xf numFmtId="164" fontId="6" fillId="4" borderId="2" xfId="0" applyFont="true" applyBorder="true" applyAlignment="true" applyProtection="true">
      <alignment horizontal="left" vertical="center" textRotation="0" wrapText="false" indent="0" shrinkToFit="false"/>
      <protection locked="true" hidden="false"/>
    </xf>
    <xf numFmtId="169" fontId="6" fillId="4" borderId="2" xfId="0" applyFont="true" applyBorder="true" applyAlignment="true" applyProtection="true">
      <alignment horizontal="right" vertical="center" textRotation="0" wrapText="true" indent="0" shrinkToFit="false"/>
      <protection locked="true" hidden="false"/>
    </xf>
    <xf numFmtId="170" fontId="6" fillId="6" borderId="2" xfId="0" applyFont="true" applyBorder="true" applyAlignment="true" applyProtection="true">
      <alignment horizontal="right" vertical="center" textRotation="0" wrapText="true" indent="0" shrinkToFit="false"/>
      <protection locked="true" hidden="false"/>
    </xf>
    <xf numFmtId="173" fontId="6" fillId="6" borderId="2" xfId="0" applyFont="true" applyBorder="true" applyAlignment="true" applyProtection="true">
      <alignment horizontal="center" vertical="center" textRotation="0" wrapText="true" indent="0" shrinkToFit="false"/>
      <protection locked="true" hidden="false"/>
    </xf>
    <xf numFmtId="164" fontId="6" fillId="2" borderId="0" xfId="0" applyFont="true" applyBorder="true" applyAlignment="false" applyProtection="true">
      <alignment horizontal="general" vertical="bottom" textRotation="0" wrapText="false" indent="0" shrinkToFit="false"/>
      <protection locked="true" hidden="false"/>
    </xf>
    <xf numFmtId="173" fontId="6" fillId="4" borderId="2" xfId="0" applyFont="true" applyBorder="true" applyAlignment="true" applyProtection="true">
      <alignment horizontal="center" vertical="center" textRotation="0" wrapText="false" indent="0" shrinkToFit="false"/>
      <protection locked="true" hidden="false"/>
    </xf>
    <xf numFmtId="164" fontId="12" fillId="2" borderId="11" xfId="0" applyFont="true" applyBorder="true" applyAlignment="true" applyProtection="true">
      <alignment horizontal="left" vertical="center" textRotation="0" wrapText="true" indent="0" shrinkToFit="false"/>
      <protection locked="true" hidden="false"/>
    </xf>
    <xf numFmtId="164" fontId="10" fillId="5" borderId="2" xfId="0" applyFont="true" applyBorder="true" applyAlignment="true" applyProtection="true">
      <alignment horizontal="justify" vertical="center" textRotation="0" wrapText="true" indent="0" shrinkToFit="false"/>
      <protection locked="true" hidden="false"/>
    </xf>
    <xf numFmtId="173" fontId="6" fillId="4" borderId="2" xfId="0" applyFont="true" applyBorder="true" applyAlignment="true" applyProtection="true">
      <alignment horizontal="center" vertical="center" textRotation="0" wrapText="true" indent="0" shrinkToFit="false"/>
      <protection locked="true" hidden="false"/>
    </xf>
    <xf numFmtId="173" fontId="10" fillId="5" borderId="2" xfId="0" applyFont="true" applyBorder="true" applyAlignment="true" applyProtection="true">
      <alignment horizontal="center" vertical="center" textRotation="0" wrapText="false" indent="0" shrinkToFit="false"/>
      <protection locked="true" hidden="false"/>
    </xf>
    <xf numFmtId="164" fontId="6" fillId="6" borderId="2" xfId="0" applyFont="true" applyBorder="true" applyAlignment="true" applyProtection="true">
      <alignment horizontal="justify" vertical="center" textRotation="0" wrapText="false" indent="0" shrinkToFit="false"/>
      <protection locked="true" hidden="false"/>
    </xf>
    <xf numFmtId="164" fontId="6" fillId="4" borderId="2" xfId="0" applyFont="true" applyBorder="true" applyAlignment="true" applyProtection="true">
      <alignment horizontal="justify" vertical="center" textRotation="0" wrapText="false" indent="0" shrinkToFit="false"/>
      <protection locked="true" hidden="false"/>
    </xf>
    <xf numFmtId="164" fontId="6" fillId="2" borderId="0" xfId="0" applyFont="true" applyBorder="false" applyAlignment="true" applyProtection="true">
      <alignment horizontal="general" vertical="center" textRotation="0" wrapText="true" indent="0" shrinkToFit="false"/>
      <protection locked="true" hidden="false"/>
    </xf>
    <xf numFmtId="164" fontId="7" fillId="6" borderId="2"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true" hidden="false"/>
    </xf>
    <xf numFmtId="165" fontId="7" fillId="4" borderId="3" xfId="0" applyFont="true" applyBorder="true" applyAlignment="true" applyProtection="true">
      <alignment horizontal="right" vertical="bottom" textRotation="0" wrapText="false" indent="0" shrinkToFit="false"/>
      <protection locked="true" hidden="false"/>
    </xf>
    <xf numFmtId="165" fontId="7" fillId="4" borderId="3" xfId="0" applyFont="true" applyBorder="true" applyAlignment="true" applyProtection="true">
      <alignment horizontal="general" vertical="bottom" textRotation="0" wrapText="false" indent="0" shrinkToFit="false"/>
      <protection locked="true" hidden="false"/>
    </xf>
    <xf numFmtId="164" fontId="6" fillId="4" borderId="2" xfId="0" applyFont="true" applyBorder="true" applyAlignment="true" applyProtection="true">
      <alignment horizontal="right" vertical="bottom" textRotation="0" wrapText="false" indent="0" shrinkToFit="false"/>
      <protection locked="true" hidden="false"/>
    </xf>
    <xf numFmtId="173" fontId="6" fillId="4" borderId="2"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5" fontId="6" fillId="6" borderId="2" xfId="0" applyFont="true" applyBorder="true" applyAlignment="true" applyProtection="true">
      <alignment horizontal="center" vertical="bottom" textRotation="0" wrapText="false" indent="0" shrinkToFit="false"/>
      <protection locked="true" hidden="false"/>
    </xf>
    <xf numFmtId="173" fontId="6" fillId="6" borderId="2" xfId="0" applyFont="true" applyBorder="true" applyAlignment="true" applyProtection="true">
      <alignment horizontal="center" vertical="bottom" textRotation="0" wrapText="false" indent="0" shrinkToFit="false"/>
      <protection locked="true" hidden="false"/>
    </xf>
    <xf numFmtId="164" fontId="6" fillId="6" borderId="2" xfId="0" applyFont="true" applyBorder="true" applyAlignment="true" applyProtection="true">
      <alignment horizontal="left" vertical="center" textRotation="0" wrapText="false" indent="0" shrinkToFit="false"/>
      <protection locked="true" hidden="false"/>
    </xf>
    <xf numFmtId="164" fontId="8" fillId="2" borderId="0" xfId="0" applyFont="true" applyBorder="false" applyAlignment="true" applyProtection="true">
      <alignment horizontal="general" vertical="top"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4" fontId="6" fillId="6" borderId="2" xfId="0" applyFont="true" applyBorder="true" applyAlignment="true" applyProtection="true">
      <alignment horizontal="general" vertical="bottom" textRotation="0" wrapText="false" indent="0" shrinkToFit="false"/>
      <protection locked="true" hidden="false"/>
    </xf>
    <xf numFmtId="164" fontId="6" fillId="4" borderId="9" xfId="0" applyFont="true" applyBorder="true" applyAlignment="true" applyProtection="true">
      <alignment horizontal="left" vertical="bottom" textRotation="0" wrapText="false" indent="0" shrinkToFit="false"/>
      <protection locked="true" hidden="false"/>
    </xf>
    <xf numFmtId="165" fontId="6" fillId="4" borderId="9" xfId="0" applyFont="true" applyBorder="true" applyAlignment="true" applyProtection="true">
      <alignment horizontal="center" vertical="bottom" textRotation="0" wrapText="false" indent="0" shrinkToFit="false"/>
      <protection locked="true" hidden="false"/>
    </xf>
    <xf numFmtId="164" fontId="16" fillId="2" borderId="0" xfId="0" applyFont="true" applyBorder="false" applyAlignment="false" applyProtection="true">
      <alignment horizontal="general" vertical="bottom" textRotation="0" wrapText="false" indent="0" shrinkToFit="false"/>
      <protection locked="true" hidden="false"/>
    </xf>
    <xf numFmtId="164" fontId="23" fillId="2" borderId="0" xfId="0" applyFont="true" applyBorder="true" applyAlignment="true" applyProtection="true">
      <alignment horizontal="center" vertical="center" textRotation="0" wrapText="false" indent="0" shrinkToFit="false"/>
      <protection locked="true" hidden="false"/>
    </xf>
    <xf numFmtId="168" fontId="6" fillId="6" borderId="2" xfId="0" applyFont="true" applyBorder="true" applyAlignment="true" applyProtection="true">
      <alignment horizontal="right" vertical="center" textRotation="0" wrapText="true" indent="0" shrinkToFit="false"/>
      <protection locked="true" hidden="false"/>
    </xf>
    <xf numFmtId="168" fontId="6" fillId="4" borderId="2" xfId="0" applyFont="true" applyBorder="true" applyAlignment="true" applyProtection="true">
      <alignment horizontal="right" vertical="center" textRotation="0" wrapText="true" indent="0" shrinkToFit="false"/>
      <protection locked="true" hidden="false"/>
    </xf>
    <xf numFmtId="168" fontId="10" fillId="5" borderId="2" xfId="0" applyFont="true" applyBorder="true" applyAlignment="true" applyProtection="true">
      <alignment horizontal="right" vertical="center" textRotation="0" wrapText="true" indent="0" shrinkToFit="false"/>
      <protection locked="true" hidden="false"/>
    </xf>
    <xf numFmtId="168" fontId="10" fillId="5" borderId="2" xfId="0"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true">
      <alignment horizontal="justify" vertical="center" textRotation="0" wrapText="true" indent="0" shrinkToFit="false"/>
      <protection locked="true" hidden="false"/>
    </xf>
    <xf numFmtId="168" fontId="10" fillId="5" borderId="2" xfId="0" applyFont="true" applyBorder="true" applyAlignment="true" applyProtection="true">
      <alignment horizontal="right" vertical="center" textRotation="0" wrapText="false" indent="0" shrinkToFit="false"/>
      <protection locked="true" hidden="false"/>
    </xf>
    <xf numFmtId="168" fontId="6" fillId="4" borderId="2" xfId="0" applyFont="true" applyBorder="true" applyAlignment="true" applyProtection="true">
      <alignment horizontal="left" vertical="center" textRotation="0" wrapText="true" indent="0" shrinkToFit="false"/>
      <protection locked="true" hidden="false"/>
    </xf>
    <xf numFmtId="174" fontId="6" fillId="4" borderId="2" xfId="0" applyFont="true" applyBorder="true" applyAlignment="true" applyProtection="true">
      <alignment horizontal="center" vertical="center" textRotation="0" wrapText="true" indent="0" shrinkToFit="false"/>
      <protection locked="true" hidden="false"/>
    </xf>
    <xf numFmtId="164" fontId="10" fillId="5" borderId="8" xfId="0" applyFont="true" applyBorder="true" applyAlignment="true" applyProtection="true">
      <alignment horizontal="left" vertical="center" textRotation="0" wrapText="true" indent="0" shrinkToFit="false"/>
      <protection locked="true" hidden="false"/>
    </xf>
    <xf numFmtId="164" fontId="10" fillId="5" borderId="8" xfId="0" applyFont="true" applyBorder="true" applyAlignment="true" applyProtection="true">
      <alignment horizontal="center" vertical="center" textRotation="0" wrapText="true" indent="0" shrinkToFit="false"/>
      <protection locked="true" hidden="false"/>
    </xf>
    <xf numFmtId="164" fontId="10" fillId="5" borderId="8" xfId="0" applyFont="true" applyBorder="true" applyAlignment="true" applyProtection="true">
      <alignment horizontal="center" vertical="bottom" textRotation="0" wrapText="false" indent="0" shrinkToFit="false"/>
      <protection locked="true" hidden="false"/>
    </xf>
    <xf numFmtId="164" fontId="6" fillId="6" borderId="8" xfId="0" applyFont="true" applyBorder="true" applyAlignment="true" applyProtection="true">
      <alignment horizontal="left" vertical="center" textRotation="0" wrapText="true" indent="0" shrinkToFit="false"/>
      <protection locked="true" hidden="false"/>
    </xf>
    <xf numFmtId="169" fontId="6" fillId="6" borderId="8" xfId="0" applyFont="true" applyBorder="true" applyAlignment="true" applyProtection="true">
      <alignment horizontal="right" vertical="center" textRotation="0" wrapText="true" indent="0" shrinkToFit="false"/>
      <protection locked="true" hidden="false"/>
    </xf>
    <xf numFmtId="164" fontId="6" fillId="4" borderId="8" xfId="0" applyFont="true" applyBorder="true" applyAlignment="true" applyProtection="true">
      <alignment horizontal="left" vertical="center" textRotation="0" wrapText="true" indent="0" shrinkToFit="false"/>
      <protection locked="true" hidden="false"/>
    </xf>
    <xf numFmtId="169" fontId="6" fillId="4" borderId="8" xfId="0" applyFont="true" applyBorder="true" applyAlignment="true" applyProtection="true">
      <alignment horizontal="right" vertical="center" textRotation="0" wrapText="true" indent="0" shrinkToFit="false"/>
      <protection locked="true" hidden="false"/>
    </xf>
    <xf numFmtId="168" fontId="6" fillId="4" borderId="8" xfId="0" applyFont="true" applyBorder="true" applyAlignment="true" applyProtection="true">
      <alignment horizontal="left" vertical="center" textRotation="0" wrapText="true" indent="0" shrinkToFit="false"/>
      <protection locked="true" hidden="false"/>
    </xf>
    <xf numFmtId="168" fontId="10" fillId="5" borderId="8" xfId="0" applyFont="true" applyBorder="true" applyAlignment="true" applyProtection="true">
      <alignment horizontal="right" vertical="center" textRotation="0" wrapText="true" indent="0" shrinkToFit="false"/>
      <protection locked="true" hidden="false"/>
    </xf>
    <xf numFmtId="169" fontId="6" fillId="6" borderId="2" xfId="0" applyFont="true" applyBorder="true" applyAlignment="true" applyProtection="true">
      <alignment horizontal="center" vertical="center" textRotation="0" wrapText="true" indent="0" shrinkToFit="false"/>
      <protection locked="true" hidden="false"/>
    </xf>
    <xf numFmtId="169" fontId="6" fillId="4" borderId="2" xfId="0" applyFont="true" applyBorder="true" applyAlignment="true" applyProtection="true">
      <alignment horizontal="center" vertical="center" textRotation="0" wrapText="true" indent="0" shrinkToFit="false"/>
      <protection locked="true" hidden="false"/>
    </xf>
    <xf numFmtId="164" fontId="24" fillId="4" borderId="2" xfId="0" applyFont="true" applyBorder="true" applyAlignment="true" applyProtection="true">
      <alignment horizontal="left" vertical="center" textRotation="0" wrapText="true" indent="1" shrinkToFit="false"/>
      <protection locked="true" hidden="false"/>
    </xf>
    <xf numFmtId="169" fontId="24" fillId="4" borderId="2" xfId="0" applyFont="true" applyBorder="true" applyAlignment="true" applyProtection="true">
      <alignment horizontal="center" vertical="center" textRotation="0" wrapText="true" indent="0" shrinkToFit="false"/>
      <protection locked="true" hidden="false"/>
    </xf>
    <xf numFmtId="169" fontId="24" fillId="4" borderId="2" xfId="0" applyFont="true" applyBorder="true" applyAlignment="true" applyProtection="true">
      <alignment horizontal="right" vertical="center" textRotation="0" wrapText="true" indent="0" shrinkToFit="false"/>
      <protection locked="true" hidden="false"/>
    </xf>
    <xf numFmtId="164" fontId="24" fillId="6" borderId="2" xfId="0" applyFont="true" applyBorder="true" applyAlignment="true" applyProtection="true">
      <alignment horizontal="left" vertical="center" textRotation="0" wrapText="true" indent="1" shrinkToFit="false"/>
      <protection locked="true" hidden="false"/>
    </xf>
    <xf numFmtId="169" fontId="24" fillId="6" borderId="2" xfId="0" applyFont="true" applyBorder="true" applyAlignment="true" applyProtection="true">
      <alignment horizontal="center" vertical="center" textRotation="0" wrapText="true" indent="0" shrinkToFit="false"/>
      <protection locked="true" hidden="false"/>
    </xf>
    <xf numFmtId="169" fontId="24" fillId="6" borderId="2" xfId="0" applyFont="true" applyBorder="true" applyAlignment="true" applyProtection="true">
      <alignment horizontal="right" vertical="center" textRotation="0" wrapText="true" indent="0" shrinkToFit="false"/>
      <protection locked="true" hidden="false"/>
    </xf>
    <xf numFmtId="169" fontId="10" fillId="5" borderId="2" xfId="0" applyFont="true" applyBorder="true" applyAlignment="true" applyProtection="true">
      <alignment horizontal="right" vertical="center" textRotation="0" wrapText="true" indent="0" shrinkToFit="false"/>
      <protection locked="true" hidden="false"/>
    </xf>
    <xf numFmtId="164" fontId="25" fillId="2" borderId="0" xfId="0" applyFont="true" applyBorder="true" applyAlignment="true" applyProtection="true">
      <alignment horizontal="left" vertical="center" textRotation="0" wrapText="false" indent="0" shrinkToFit="false"/>
      <protection locked="true" hidden="false"/>
    </xf>
    <xf numFmtId="164" fontId="6" fillId="2" borderId="0" xfId="0" applyFont="true" applyBorder="true" applyAlignment="true" applyProtection="true">
      <alignment horizontal="left" vertical="center" textRotation="0" wrapText="true" indent="0" shrinkToFit="false"/>
      <protection locked="true" hidden="false"/>
    </xf>
    <xf numFmtId="169" fontId="6" fillId="2" borderId="0" xfId="0" applyFont="true" applyBorder="true" applyAlignment="true" applyProtection="true">
      <alignment horizontal="center" vertical="center" textRotation="0" wrapText="true" indent="0" shrinkToFit="false"/>
      <protection locked="true" hidden="false"/>
    </xf>
    <xf numFmtId="164" fontId="6"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5" fontId="6" fillId="4" borderId="2" xfId="0" applyFont="true" applyBorder="true" applyAlignment="true" applyProtection="true">
      <alignment horizontal="center" vertical="bottom" textRotation="0" wrapText="false" indent="0" shrinkToFit="false"/>
      <protection locked="true" hidden="false"/>
    </xf>
    <xf numFmtId="169" fontId="8" fillId="2" borderId="0" xfId="0" applyFont="true" applyBorder="false" applyAlignment="true" applyProtection="true">
      <alignment horizontal="general" vertical="center" textRotation="0" wrapText="false" indent="0" shrinkToFit="false"/>
      <protection locked="true" hidden="false"/>
    </xf>
    <xf numFmtId="164" fontId="16" fillId="2" borderId="0" xfId="0" applyFont="true" applyBorder="false" applyAlignment="true" applyProtection="true">
      <alignment horizontal="general" vertical="center" textRotation="0" wrapText="false" indent="0" shrinkToFit="false"/>
      <protection locked="true" hidden="false"/>
    </xf>
    <xf numFmtId="164" fontId="20" fillId="2" borderId="0" xfId="0" applyFont="true" applyBorder="false" applyAlignment="true" applyProtection="true">
      <alignment horizontal="general" vertical="center" textRotation="0" wrapText="false" indent="0" shrinkToFit="fals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4" fontId="13" fillId="2" borderId="0" xfId="0" applyFont="true" applyBorder="false" applyAlignment="true" applyProtection="true">
      <alignment horizontal="general" vertical="center" textRotation="0" wrapText="false" indent="0" shrinkToFit="false"/>
      <protection locked="true" hidden="false"/>
    </xf>
    <xf numFmtId="164" fontId="13" fillId="2" borderId="0" xfId="0" applyFont="true" applyBorder="false" applyAlignment="true" applyProtection="true">
      <alignment horizontal="general" vertical="center" textRotation="0" wrapText="true" indent="0" shrinkToFit="false"/>
      <protection locked="true" hidden="false"/>
    </xf>
    <xf numFmtId="164" fontId="13" fillId="2" borderId="0" xfId="0" applyFont="true" applyBorder="fals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7" fillId="6" borderId="2" xfId="0" applyFont="true" applyBorder="true" applyAlignment="true" applyProtection="true">
      <alignment horizontal="left" vertical="center" textRotation="0" wrapText="false" indent="0" shrinkToFit="false"/>
      <protection locked="true" hidden="false"/>
    </xf>
    <xf numFmtId="164" fontId="7" fillId="4" borderId="2" xfId="0" applyFont="true" applyBorder="true" applyAlignment="true" applyProtection="true">
      <alignment horizontal="left" vertical="center" textRotation="0" wrapText="false" indent="0" shrinkToFit="false"/>
      <protection locked="true" hidden="false"/>
    </xf>
    <xf numFmtId="164" fontId="27" fillId="2" borderId="0" xfId="0" applyFont="true" applyBorder="true" applyAlignment="true" applyProtection="true">
      <alignment horizontal="center" vertical="center" textRotation="0" wrapText="false" indent="0" shrinkToFit="false"/>
      <protection locked="true" hidden="false"/>
    </xf>
    <xf numFmtId="164" fontId="28" fillId="2" borderId="0" xfId="0" applyFont="true" applyBorder="true" applyAlignment="true" applyProtection="true">
      <alignment horizontal="center" vertical="center" textRotation="0" wrapText="false" indent="0" shrinkToFit="false"/>
      <protection locked="true" hidden="false"/>
    </xf>
    <xf numFmtId="164" fontId="29" fillId="2" borderId="0" xfId="0" applyFont="true" applyBorder="false" applyAlignment="true" applyProtection="true">
      <alignment horizontal="general" vertical="center" textRotation="0" wrapText="false" indent="0" shrinkToFit="false"/>
      <protection locked="true" hidden="false"/>
    </xf>
    <xf numFmtId="164" fontId="28" fillId="2" borderId="0" xfId="0" applyFont="true" applyBorder="false" applyAlignment="true" applyProtection="true">
      <alignment horizontal="center" vertical="center" textRotation="0" wrapText="false" indent="0" shrinkToFit="false"/>
      <protection locked="true" hidden="false"/>
    </xf>
    <xf numFmtId="164" fontId="28" fillId="2" borderId="0" xfId="0" applyFont="true" applyBorder="false" applyAlignment="true" applyProtection="true">
      <alignment horizontal="center" vertical="center" textRotation="0" wrapText="true" indent="0" shrinkToFit="false"/>
      <protection locked="true" hidden="false"/>
    </xf>
    <xf numFmtId="164" fontId="30" fillId="2" borderId="0" xfId="0" applyFont="true" applyBorder="true" applyAlignment="true" applyProtection="true">
      <alignment horizontal="justify" vertical="center" textRotation="0" wrapText="true" indent="0" shrinkToFit="false"/>
      <protection locked="true" hidden="false"/>
    </xf>
    <xf numFmtId="164" fontId="20" fillId="2" borderId="0" xfId="0" applyFont="true" applyBorder="true" applyAlignment="true" applyProtection="true">
      <alignment horizontal="general" vertical="center" textRotation="0" wrapText="false" indent="0" shrinkToFit="false"/>
      <protection locked="true" hidden="false"/>
    </xf>
    <xf numFmtId="164" fontId="8" fillId="2" borderId="0"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75" fontId="6" fillId="6" borderId="2" xfId="0" applyFont="true" applyBorder="true" applyAlignment="true" applyProtection="true">
      <alignment horizontal="center" vertical="center" textRotation="0" wrapText="false" indent="0" shrinkToFit="false"/>
      <protection locked="true" hidden="false"/>
    </xf>
    <xf numFmtId="168" fontId="6" fillId="6" borderId="2" xfId="0" applyFont="true" applyBorder="true" applyAlignment="true" applyProtection="true">
      <alignment horizontal="general" vertical="center" textRotation="0" wrapText="false" indent="0" shrinkToFit="false"/>
      <protection locked="true" hidden="false"/>
    </xf>
    <xf numFmtId="173" fontId="6" fillId="6" borderId="2" xfId="0" applyFont="true" applyBorder="true" applyAlignment="true" applyProtection="true">
      <alignment horizontal="general" vertical="center" textRotation="0" wrapText="false" indent="0" shrinkToFit="false"/>
      <protection locked="true" hidden="false"/>
    </xf>
    <xf numFmtId="164" fontId="10" fillId="3" borderId="2" xfId="0" applyFont="true" applyBorder="true" applyAlignment="true" applyProtection="true">
      <alignment horizontal="general" vertical="center" textRotation="0" wrapText="false" indent="0" shrinkToFit="false"/>
      <protection locked="true" hidden="false"/>
    </xf>
    <xf numFmtId="173" fontId="11" fillId="3" borderId="2"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true" indent="0" shrinkToFit="false"/>
      <protection locked="true" hidden="false"/>
    </xf>
    <xf numFmtId="164" fontId="11" fillId="2" borderId="0" xfId="0" applyFont="true" applyBorder="true" applyAlignment="true" applyProtection="true">
      <alignment horizontal="general" vertical="center" textRotation="0" wrapText="false" indent="0" shrinkToFit="false"/>
      <protection locked="true" hidden="false"/>
    </xf>
    <xf numFmtId="173" fontId="11" fillId="2" borderId="0" xfId="0" applyFont="true" applyBorder="true" applyAlignment="true" applyProtection="true">
      <alignment horizontal="right" vertical="center" textRotation="0" wrapText="false" indent="0" shrinkToFit="false"/>
      <protection locked="true" hidden="false"/>
    </xf>
    <xf numFmtId="164" fontId="31" fillId="2" borderId="0" xfId="0" applyFont="true" applyBorder="false" applyAlignment="true" applyProtection="true">
      <alignment horizontal="general" vertical="center" textRotation="0" wrapText="false" indent="0" shrinkToFit="false"/>
      <protection locked="true" hidden="false"/>
    </xf>
    <xf numFmtId="175" fontId="6" fillId="2" borderId="0" xfId="0" applyFont="true" applyBorder="true" applyAlignment="true" applyProtection="true">
      <alignment horizontal="general" vertical="center" textRotation="0" wrapText="false" indent="0" shrinkToFit="false"/>
      <protection locked="true" hidden="false"/>
    </xf>
    <xf numFmtId="173" fontId="11" fillId="2" borderId="0" xfId="0" applyFont="true" applyBorder="true" applyAlignment="true" applyProtection="true">
      <alignment horizontal="general" vertical="center" textRotation="0" wrapText="false" indent="0" shrinkToFit="false"/>
      <protection locked="true" hidden="false"/>
    </xf>
    <xf numFmtId="167" fontId="6" fillId="6" borderId="2" xfId="0" applyFont="true" applyBorder="true" applyAlignment="true" applyProtection="true">
      <alignment horizontal="center" vertical="center" textRotation="0" wrapText="false" indent="0" shrinkToFit="false"/>
      <protection locked="true" hidden="false"/>
    </xf>
    <xf numFmtId="176" fontId="6" fillId="6" borderId="2" xfId="0" applyFont="true" applyBorder="true" applyAlignment="true" applyProtection="true">
      <alignment horizontal="center" vertical="center" textRotation="0" wrapText="false" indent="0" shrinkToFit="false"/>
      <protection locked="true" hidden="false"/>
    </xf>
    <xf numFmtId="177" fontId="20" fillId="2" borderId="0" xfId="0" applyFont="true" applyBorder="false" applyAlignment="true" applyProtection="true">
      <alignment horizontal="general" vertical="center" textRotation="0" wrapText="false" indent="0" shrinkToFit="false"/>
      <protection locked="true" hidden="false"/>
    </xf>
    <xf numFmtId="164" fontId="10" fillId="3" borderId="2" xfId="0" applyFont="true" applyBorder="true" applyAlignment="true" applyProtection="true">
      <alignment horizontal="left" vertical="center" textRotation="0" wrapText="false" indent="0" shrinkToFit="false"/>
      <protection locked="true" hidden="false"/>
    </xf>
    <xf numFmtId="173" fontId="10" fillId="3" borderId="2" xfId="0" applyFont="true" applyBorder="true" applyAlignment="true" applyProtection="true">
      <alignment horizontal="right" vertical="center" textRotation="0" wrapText="false" indent="0" shrinkToFit="false"/>
      <protection locked="true" hidden="false"/>
    </xf>
    <xf numFmtId="164" fontId="27" fillId="2" borderId="0" xfId="0" applyFont="true" applyBorder="true" applyAlignment="true" applyProtection="true">
      <alignment horizontal="left" vertical="center" textRotation="0" wrapText="true" indent="0" shrinkToFit="false"/>
      <protection locked="true" hidden="false"/>
    </xf>
    <xf numFmtId="164" fontId="30" fillId="2" borderId="0" xfId="0" applyFont="true" applyBorder="true" applyAlignment="true" applyProtection="true">
      <alignment horizontal="general" vertical="center" textRotation="0" wrapText="true" indent="0" shrinkToFit="false"/>
      <protection locked="true" hidden="false"/>
    </xf>
    <xf numFmtId="164" fontId="32" fillId="2" borderId="0" xfId="0" applyFont="true" applyBorder="false" applyAlignment="true" applyProtection="true">
      <alignment horizontal="general" vertical="center" textRotation="0" wrapText="false" indent="0" shrinkToFit="false"/>
      <protection locked="true" hidden="false"/>
    </xf>
    <xf numFmtId="164" fontId="33" fillId="2" borderId="0" xfId="0" applyFont="true" applyBorder="true" applyAlignment="true" applyProtection="true">
      <alignment horizontal="center" vertical="center" textRotation="0" wrapText="true" indent="0" shrinkToFit="false"/>
      <protection locked="true" hidden="false"/>
    </xf>
    <xf numFmtId="164" fontId="11" fillId="2" borderId="0" xfId="0" applyFont="true" applyBorder="true" applyAlignment="true" applyProtection="true">
      <alignment horizontal="general" vertical="center" textRotation="0" wrapText="true" indent="0" shrinkToFit="false"/>
      <protection locked="true" hidden="false"/>
    </xf>
    <xf numFmtId="178" fontId="20" fillId="2" borderId="0" xfId="0" applyFont="true" applyBorder="false" applyAlignment="true" applyProtection="true">
      <alignment horizontal="general" vertical="center" textRotation="0" wrapText="false" indent="0" shrinkToFit="false"/>
      <protection locked="true" hidden="false"/>
    </xf>
    <xf numFmtId="168" fontId="6" fillId="6" borderId="2" xfId="0" applyFont="true" applyBorder="true" applyAlignment="true" applyProtection="true">
      <alignment horizontal="center" vertical="center" textRotation="0" wrapText="false" indent="0" shrinkToFit="false"/>
      <protection locked="true" hidden="false"/>
    </xf>
    <xf numFmtId="173" fontId="6" fillId="6" borderId="2" xfId="0" applyFont="true" applyBorder="true" applyAlignment="true" applyProtection="true">
      <alignment horizontal="center" vertical="center" textRotation="0" wrapText="false" indent="0" shrinkToFit="false"/>
      <protection locked="true" hidden="false"/>
    </xf>
    <xf numFmtId="168" fontId="6" fillId="6" borderId="2" xfId="0" applyFont="true" applyBorder="true" applyAlignment="true" applyProtection="true">
      <alignment horizontal="right" vertical="center" textRotation="0" wrapText="false" indent="0" shrinkToFit="false"/>
      <protection locked="true" hidden="false"/>
    </xf>
    <xf numFmtId="164" fontId="10" fillId="5" borderId="12" xfId="0" applyFont="true" applyBorder="true" applyAlignment="true" applyProtection="true">
      <alignment horizontal="left" vertical="center" textRotation="0" wrapText="false" indent="0" shrinkToFit="false"/>
      <protection locked="true" hidden="false"/>
    </xf>
    <xf numFmtId="168" fontId="10" fillId="5" borderId="2" xfId="15" applyFont="true" applyBorder="true" applyAlignment="true" applyProtection="true">
      <alignment horizontal="general" vertical="center" textRotation="0" wrapText="false" indent="0" shrinkToFit="false"/>
      <protection locked="true" hidden="false"/>
    </xf>
    <xf numFmtId="164" fontId="31" fillId="2" borderId="0" xfId="0" applyFont="true" applyBorder="false" applyAlignment="true" applyProtection="true">
      <alignment horizontal="general" vertical="center" textRotation="0" wrapText="true" indent="0" shrinkToFit="false"/>
      <protection locked="true" hidden="false"/>
    </xf>
    <xf numFmtId="164" fontId="20" fillId="2" borderId="0" xfId="0" applyFont="true" applyBorder="false" applyAlignment="false" applyProtection="true">
      <alignment horizontal="general" vertical="bottom" textRotation="0" wrapText="false" indent="0" shrinkToFit="false"/>
      <protection locked="true" hidden="false"/>
    </xf>
    <xf numFmtId="164" fontId="20" fillId="2" borderId="0" xfId="0" applyFont="true" applyBorder="false" applyAlignment="true" applyProtection="true">
      <alignment horizontal="general" vertical="bottom" textRotation="0" wrapText="true" indent="0" shrinkToFit="false"/>
      <protection locked="true" hidden="false"/>
    </xf>
    <xf numFmtId="164" fontId="8" fillId="2" borderId="0" xfId="0" applyFont="true" applyBorder="false" applyAlignment="true" applyProtection="true">
      <alignment horizontal="general" vertical="bottom" textRotation="0" wrapText="true" indent="0" shrinkToFit="false"/>
      <protection locked="true" hidden="false"/>
    </xf>
    <xf numFmtId="164" fontId="34" fillId="5" borderId="2" xfId="0" applyFont="true" applyBorder="true" applyAlignment="true" applyProtection="true">
      <alignment horizontal="center" vertical="center" textRotation="0" wrapText="true" indent="0" shrinkToFit="false"/>
      <protection locked="true" hidden="false"/>
    </xf>
    <xf numFmtId="164" fontId="6" fillId="2" borderId="0" xfId="0" applyFont="true" applyBorder="false" applyAlignment="true" applyProtection="true">
      <alignment horizontal="center" vertical="bottom" textRotation="0" wrapText="false" indent="0" shrinkToFit="false"/>
      <protection locked="true" hidden="false"/>
    </xf>
    <xf numFmtId="164" fontId="35" fillId="5" borderId="2" xfId="0" applyFont="true" applyBorder="true" applyAlignment="true" applyProtection="true">
      <alignment horizontal="center" vertical="center" textRotation="0" wrapText="true" indent="0" shrinkToFit="false"/>
      <protection locked="true" hidden="false"/>
    </xf>
    <xf numFmtId="164" fontId="35" fillId="5" borderId="2" xfId="0" applyFont="true" applyBorder="true" applyAlignment="true" applyProtection="true">
      <alignment horizontal="left" vertical="center" textRotation="0" wrapText="true" indent="0" shrinkToFit="false"/>
      <protection locked="true" hidden="false"/>
    </xf>
    <xf numFmtId="172" fontId="36" fillId="3" borderId="2" xfId="0" applyFont="true" applyBorder="true" applyAlignment="true" applyProtection="true">
      <alignment horizontal="center" vertical="center" textRotation="0" wrapText="true" indent="0" shrinkToFit="false"/>
      <protection locked="false" hidden="false"/>
    </xf>
    <xf numFmtId="172" fontId="36" fillId="3" borderId="2" xfId="15" applyFont="true" applyBorder="true" applyAlignment="true" applyProtection="true">
      <alignment horizontal="center" vertical="center" textRotation="0" wrapText="true" indent="0" shrinkToFit="false"/>
      <protection locked="false" hidden="false"/>
    </xf>
    <xf numFmtId="173" fontId="36" fillId="3" borderId="7" xfId="0" applyFont="true" applyBorder="true" applyAlignment="true" applyProtection="false">
      <alignment horizontal="general" vertical="bottom" textRotation="0" wrapText="true" indent="0" shrinkToFit="false"/>
      <protection locked="true" hidden="false"/>
    </xf>
    <xf numFmtId="178" fontId="34" fillId="5" borderId="2" xfId="0" applyFont="true" applyBorder="true" applyAlignment="true" applyProtection="true">
      <alignment horizontal="center" vertical="center" textRotation="0" wrapText="true" indent="0" shrinkToFit="false"/>
      <protection locked="true" hidden="false"/>
    </xf>
    <xf numFmtId="164" fontId="34" fillId="5" borderId="2" xfId="0" applyFont="true" applyBorder="true" applyAlignment="true" applyProtection="true">
      <alignment horizontal="right" vertical="center" textRotation="0" wrapText="true" indent="0" shrinkToFit="false"/>
      <protection locked="true" hidden="false"/>
    </xf>
    <xf numFmtId="164" fontId="37" fillId="2" borderId="0" xfId="0" applyFont="true" applyBorder="true" applyAlignment="true" applyProtection="true">
      <alignment horizontal="left" vertical="center" textRotation="0" wrapText="true" indent="0" shrinkToFit="false"/>
      <protection locked="true" hidden="false"/>
    </xf>
    <xf numFmtId="164" fontId="37" fillId="2" borderId="0" xfId="0" applyFont="true" applyBorder="true" applyAlignment="true" applyProtection="true">
      <alignment horizontal="center" vertical="center" textRotation="0" wrapText="false" indent="0" shrinkToFit="false"/>
      <protection locked="true" hidden="false"/>
    </xf>
    <xf numFmtId="168" fontId="20" fillId="2" borderId="0" xfId="0" applyFont="true" applyBorder="false" applyAlignment="false" applyProtection="true">
      <alignment horizontal="general" vertical="bottom" textRotation="0" wrapText="false" indent="0" shrinkToFit="false"/>
      <protection locked="true" hidden="false"/>
    </xf>
    <xf numFmtId="172" fontId="34" fillId="5" borderId="2" xfId="0" applyFont="true" applyBorder="true" applyAlignment="true" applyProtection="true">
      <alignment horizontal="center" vertical="center" textRotation="0" wrapText="true" indent="0" shrinkToFit="false"/>
      <protection locked="true" hidden="false"/>
    </xf>
    <xf numFmtId="164" fontId="36" fillId="3" borderId="7" xfId="0" applyFont="true" applyBorder="true" applyAlignment="true" applyProtection="false">
      <alignment horizontal="general" vertical="bottom" textRotation="0" wrapText="true" indent="0" shrinkToFit="false"/>
      <protection locked="true" hidden="false"/>
    </xf>
    <xf numFmtId="178" fontId="36" fillId="3" borderId="7" xfId="0" applyFont="true" applyBorder="true" applyAlignment="true" applyProtection="false">
      <alignment horizontal="general" vertical="bottom" textRotation="0" wrapText="true" indent="0" shrinkToFit="false"/>
      <protection locked="true" hidden="false"/>
    </xf>
    <xf numFmtId="164" fontId="37" fillId="2" borderId="0" xfId="0" applyFont="true" applyBorder="true" applyAlignment="true" applyProtection="true">
      <alignment horizontal="left" vertical="center" textRotation="0" wrapText="false" indent="0" shrinkToFit="false"/>
      <protection locked="true" hidden="false"/>
    </xf>
    <xf numFmtId="164" fontId="25" fillId="2" borderId="13" xfId="0" applyFont="true" applyBorder="true" applyAlignment="true" applyProtection="true">
      <alignment horizontal="center" vertical="center" textRotation="0" wrapText="false" indent="0" shrinkToFit="false"/>
      <protection locked="true" hidden="false"/>
    </xf>
    <xf numFmtId="167" fontId="6" fillId="7" borderId="2" xfId="0" applyFont="true" applyBorder="true" applyAlignment="true" applyProtection="true">
      <alignment horizontal="left" vertical="center" textRotation="0" wrapText="true" indent="0" shrinkToFit="false"/>
      <protection locked="true" hidden="false"/>
    </xf>
    <xf numFmtId="167" fontId="6" fillId="7" borderId="2" xfId="0" applyFont="true" applyBorder="true" applyAlignment="true" applyProtection="true">
      <alignment horizontal="center" vertical="center" textRotation="0" wrapText="true" indent="0" shrinkToFit="false"/>
      <protection locked="true" hidden="false"/>
    </xf>
    <xf numFmtId="168" fontId="6" fillId="7" borderId="2" xfId="0" applyFont="true" applyBorder="true" applyAlignment="true" applyProtection="true">
      <alignment horizontal="general" vertical="center" textRotation="0" wrapText="true" indent="0" shrinkToFit="false"/>
      <protection locked="true" hidden="false"/>
    </xf>
    <xf numFmtId="168" fontId="10" fillId="5" borderId="2" xfId="0" applyFont="true" applyBorder="true" applyAlignment="true" applyProtection="true">
      <alignment horizontal="general" vertical="center" textRotation="0" wrapText="true" indent="0" shrinkToFit="false"/>
      <protection locked="true" hidden="false"/>
    </xf>
    <xf numFmtId="164" fontId="25" fillId="2" borderId="0" xfId="0" applyFont="true" applyBorder="true" applyAlignment="true" applyProtection="true">
      <alignment horizontal="center" vertical="center" textRotation="0" wrapText="false" indent="0" shrinkToFit="false"/>
      <protection locked="true" hidden="false"/>
    </xf>
    <xf numFmtId="164" fontId="6" fillId="7" borderId="2" xfId="0" applyFont="true" applyBorder="true" applyAlignment="true" applyProtection="true">
      <alignment horizontal="left" vertical="center" textRotation="0" wrapText="true" indent="0" shrinkToFit="false"/>
      <protection locked="true" hidden="false"/>
    </xf>
    <xf numFmtId="179" fontId="6" fillId="7" borderId="2" xfId="0" applyFont="true" applyBorder="true" applyAlignment="true" applyProtection="true">
      <alignment horizontal="right" vertical="center" textRotation="0" wrapText="true" indent="0" shrinkToFit="false"/>
      <protection locked="true" hidden="false"/>
    </xf>
    <xf numFmtId="179" fontId="6" fillId="4" borderId="2" xfId="0" applyFont="true" applyBorder="true" applyAlignment="true" applyProtection="true">
      <alignment horizontal="right" vertical="center" textRotation="0" wrapText="true" indent="0" shrinkToFit="false"/>
      <protection locked="true" hidden="false"/>
    </xf>
    <xf numFmtId="180" fontId="10" fillId="5" borderId="2" xfId="0" applyFont="true" applyBorder="true" applyAlignment="true" applyProtection="true">
      <alignment horizontal="center" vertical="center" textRotation="0" wrapText="true" indent="0" shrinkToFit="false"/>
      <protection locked="true" hidden="false"/>
    </xf>
    <xf numFmtId="164" fontId="24" fillId="2" borderId="0" xfId="0" applyFont="true" applyBorder="false" applyAlignment="false" applyProtection="true">
      <alignment horizontal="general" vertical="bottom" textRotation="0" wrapText="false" indent="0" shrinkToFit="false"/>
      <protection locked="true" hidden="false"/>
    </xf>
    <xf numFmtId="164" fontId="25" fillId="2" borderId="13" xfId="0" applyFont="true" applyBorder="true" applyAlignment="true" applyProtection="true">
      <alignment horizontal="center" vertical="center" textRotation="0" wrapText="true" indent="0" shrinkToFit="false"/>
      <protection locked="true" hidden="false"/>
    </xf>
    <xf numFmtId="164" fontId="25" fillId="2" borderId="13" xfId="0" applyFont="true" applyBorder="true" applyAlignment="true" applyProtection="true">
      <alignment horizontal="left" vertical="center" textRotation="0" wrapText="true" indent="0" shrinkToFit="false"/>
      <protection locked="true" hidden="false"/>
    </xf>
    <xf numFmtId="164" fontId="19" fillId="5" borderId="2" xfId="0" applyFont="true" applyBorder="true" applyAlignment="true" applyProtection="true">
      <alignment horizontal="center" vertical="center" textRotation="0" wrapText="false" indent="0" shrinkToFit="false"/>
      <protection locked="true" hidden="false"/>
    </xf>
    <xf numFmtId="180" fontId="10" fillId="5" borderId="3" xfId="0" applyFont="true" applyBorder="true" applyAlignment="true" applyProtection="true">
      <alignment horizontal="center" vertical="center" textRotation="0" wrapText="true" indent="0" shrinkToFit="false"/>
      <protection locked="true" hidden="false"/>
    </xf>
    <xf numFmtId="168" fontId="6" fillId="4" borderId="2"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28" fillId="2" borderId="0" xfId="0" applyFont="true" applyBorder="false" applyAlignment="true" applyProtection="false">
      <alignment horizontal="general" vertical="center" textRotation="0" wrapText="false" indent="0" shrinkToFit="false"/>
      <protection locked="true" hidden="false"/>
    </xf>
    <xf numFmtId="164" fontId="38" fillId="0" borderId="0" xfId="0" applyFont="true" applyBorder="false" applyAlignment="true" applyProtection="false">
      <alignment horizontal="right" vertical="bottom" textRotation="0" wrapText="false" indent="0" shrinkToFit="false"/>
      <protection locked="true" hidden="false"/>
    </xf>
    <xf numFmtId="164" fontId="39" fillId="0" borderId="0" xfId="0" applyFont="true" applyBorder="false" applyAlignment="true" applyProtection="false">
      <alignment horizontal="right" vertical="bottom" textRotation="0" wrapText="false" indent="0" shrinkToFit="false"/>
      <protection locked="true" hidden="false"/>
    </xf>
    <xf numFmtId="164" fontId="10" fillId="5" borderId="9" xfId="0" applyFont="true" applyBorder="true" applyAlignment="true" applyProtection="true">
      <alignment horizontal="center" vertical="center" textRotation="0" wrapText="true" indent="0" shrinkToFit="false"/>
      <protection locked="true" hidden="false"/>
    </xf>
    <xf numFmtId="164" fontId="10" fillId="5" borderId="14" xfId="0" applyFont="true" applyBorder="true" applyAlignment="true" applyProtection="true">
      <alignment horizontal="general" vertical="center" textRotation="0" wrapText="true" indent="0" shrinkToFit="false"/>
      <protection locked="true" hidden="false"/>
    </xf>
    <xf numFmtId="164" fontId="10" fillId="5" borderId="15" xfId="0" applyFont="true" applyBorder="true" applyAlignment="true" applyProtection="true">
      <alignment horizontal="general" vertical="center" textRotation="0" wrapText="true" indent="0" shrinkToFit="false"/>
      <protection locked="true" hidden="false"/>
    </xf>
    <xf numFmtId="164" fontId="10" fillId="5" borderId="16" xfId="0" applyFont="true" applyBorder="true" applyAlignment="true" applyProtection="true">
      <alignment horizontal="center" vertical="center" textRotation="0" wrapText="true" indent="0" shrinkToFit="false"/>
      <protection locked="true" hidden="false"/>
    </xf>
    <xf numFmtId="164" fontId="10" fillId="5" borderId="2" xfId="0" applyFont="true" applyBorder="true" applyAlignment="true" applyProtection="false">
      <alignment horizontal="center" vertical="center" textRotation="0" wrapText="false" indent="0" shrinkToFit="false"/>
      <protection locked="true" hidden="false"/>
    </xf>
    <xf numFmtId="165" fontId="10" fillId="5" borderId="2" xfId="0" applyFont="true" applyBorder="true" applyAlignment="true" applyProtection="false">
      <alignment horizontal="center" vertical="center" textRotation="0" wrapText="false" indent="0" shrinkToFit="false"/>
      <protection locked="true" hidden="false"/>
    </xf>
    <xf numFmtId="168" fontId="6" fillId="7" borderId="2" xfId="0" applyFont="true" applyBorder="true" applyAlignment="true" applyProtection="true">
      <alignment horizontal="center" vertical="center" textRotation="0" wrapText="true" indent="0" shrinkToFit="false"/>
      <protection locked="true" hidden="false"/>
    </xf>
    <xf numFmtId="168" fontId="6" fillId="4" borderId="2" xfId="0" applyFont="true" applyBorder="true" applyAlignment="true" applyProtection="true">
      <alignment horizontal="center" vertical="center" textRotation="0" wrapText="true" indent="0" shrinkToFit="false"/>
      <protection locked="true" hidden="false"/>
    </xf>
    <xf numFmtId="168" fontId="10" fillId="5" borderId="2" xfId="0" applyFont="true" applyBorder="true" applyAlignment="true" applyProtection="false">
      <alignment horizontal="center" vertical="center" textRotation="0" wrapText="false" indent="0" shrinkToFit="false"/>
      <protection locked="true" hidden="false"/>
    </xf>
    <xf numFmtId="164" fontId="10" fillId="5" borderId="2" xfId="0" applyFont="true" applyBorder="true" applyAlignment="true" applyProtection="false">
      <alignment horizontal="center" vertical="center" textRotation="0" wrapText="true" indent="0" shrinkToFit="false"/>
      <protection locked="true" hidden="false"/>
    </xf>
    <xf numFmtId="164" fontId="10" fillId="5" borderId="17" xfId="0" applyFont="true" applyBorder="true" applyAlignment="true" applyProtection="true">
      <alignment horizontal="center" vertical="center" textRotation="0" wrapText="true" indent="0" shrinkToFit="false"/>
      <protection locked="true" hidden="false"/>
    </xf>
    <xf numFmtId="164" fontId="10" fillId="5" borderId="18" xfId="0" applyFont="true" applyBorder="true" applyAlignment="true" applyProtection="true">
      <alignment horizontal="center" vertical="center" textRotation="0" wrapText="true" indent="0" shrinkToFit="false"/>
      <protection locked="true" hidden="false"/>
    </xf>
    <xf numFmtId="164" fontId="10" fillId="5" borderId="19" xfId="0" applyFont="true" applyBorder="true" applyAlignment="true" applyProtection="true">
      <alignment horizontal="center" vertical="center" textRotation="0" wrapText="true" indent="0" shrinkToFit="false"/>
      <protection locked="true" hidden="false"/>
    </xf>
    <xf numFmtId="164" fontId="10" fillId="5" borderId="3" xfId="0" applyFont="true" applyBorder="true" applyAlignment="true" applyProtection="true">
      <alignment horizontal="right" vertical="center" textRotation="0" wrapText="true" indent="0" shrinkToFit="false"/>
      <protection locked="true" hidden="false"/>
    </xf>
    <xf numFmtId="164" fontId="10" fillId="5" borderId="4" xfId="0" applyFont="true" applyBorder="true" applyAlignment="true" applyProtection="true">
      <alignment horizontal="left" vertical="center" textRotation="0" wrapText="true" indent="0" shrinkToFit="false"/>
      <protection locked="true" hidden="false"/>
    </xf>
    <xf numFmtId="164" fontId="10" fillId="5" borderId="6" xfId="0" applyFont="true" applyBorder="true" applyAlignment="true" applyProtection="true">
      <alignment horizontal="left" vertical="center" textRotation="0" wrapText="true" indent="0" shrinkToFit="false"/>
      <protection locked="true" hidden="false"/>
    </xf>
    <xf numFmtId="181" fontId="10" fillId="5" borderId="2" xfId="0" applyFont="true" applyBorder="true" applyAlignment="true" applyProtection="false">
      <alignment horizontal="center" vertical="center" textRotation="0" wrapText="false" indent="0" shrinkToFit="false"/>
      <protection locked="true" hidden="false"/>
    </xf>
    <xf numFmtId="164" fontId="28" fillId="2" borderId="0" xfId="0" applyFont="true" applyBorder="true" applyAlignment="true" applyProtection="false">
      <alignment horizontal="center" vertical="center" textRotation="0" wrapText="true" indent="0" shrinkToFit="false"/>
      <protection locked="true" hidden="false"/>
    </xf>
    <xf numFmtId="164" fontId="28" fillId="2" borderId="13" xfId="0" applyFont="true" applyBorder="true" applyAlignment="true" applyProtection="false">
      <alignment horizontal="center" vertical="center" textRotation="0" wrapText="true" indent="0" shrinkToFit="false"/>
      <protection locked="true" hidden="false"/>
    </xf>
    <xf numFmtId="164" fontId="34" fillId="5" borderId="6" xfId="0" applyFont="true" applyBorder="true" applyAlignment="true" applyProtection="true">
      <alignment horizontal="center" vertical="center" textRotation="0" wrapText="true" indent="0" shrinkToFit="false"/>
      <protection locked="true" hidden="false"/>
    </xf>
    <xf numFmtId="164" fontId="35" fillId="5" borderId="2" xfId="0" applyFont="true" applyBorder="true" applyAlignment="true" applyProtection="false">
      <alignment horizontal="general" vertical="center" textRotation="0" wrapText="true" indent="0" shrinkToFit="false"/>
      <protection locked="true" hidden="false"/>
    </xf>
    <xf numFmtId="168" fontId="36" fillId="6" borderId="2" xfId="0" applyFont="true" applyBorder="true" applyAlignment="true" applyProtection="false">
      <alignment horizontal="center" vertical="center" textRotation="0" wrapText="true" indent="0" shrinkToFit="false"/>
      <protection locked="true" hidden="false"/>
    </xf>
    <xf numFmtId="173" fontId="36" fillId="6" borderId="2" xfId="0" applyFont="true" applyBorder="true" applyAlignment="true" applyProtection="false">
      <alignment horizontal="center" vertical="center"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82" fontId="36" fillId="6" borderId="2" xfId="0" applyFont="true" applyBorder="true" applyAlignment="true" applyProtection="false">
      <alignment horizontal="center" vertical="center" textRotation="0" wrapText="true" indent="0" shrinkToFit="false"/>
      <protection locked="true" hidden="false"/>
    </xf>
    <xf numFmtId="164" fontId="34" fillId="5" borderId="12" xfId="0" applyFont="true" applyBorder="true" applyAlignment="true" applyProtection="false">
      <alignment horizontal="left" vertical="center" textRotation="0" wrapText="true" indent="0" shrinkToFit="false"/>
      <protection locked="true" hidden="false"/>
    </xf>
    <xf numFmtId="168" fontId="34" fillId="5" borderId="2" xfId="15" applyFont="true" applyBorder="true" applyAlignment="true" applyProtection="true">
      <alignment horizontal="center" vertical="center" textRotation="0" wrapText="tru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64" fontId="36" fillId="4" borderId="12" xfId="0" applyFont="true" applyBorder="true" applyAlignment="true" applyProtection="false">
      <alignment horizontal="left" vertical="center" textRotation="0" wrapText="true" indent="0" shrinkToFit="false"/>
      <protection locked="true" hidden="false"/>
    </xf>
    <xf numFmtId="168" fontId="36" fillId="4" borderId="2" xfId="15" applyFont="true" applyBorder="true" applyAlignment="true" applyProtection="true">
      <alignment horizontal="center" vertical="center" textRotation="0" wrapText="true" indent="0" shrinkToFit="false"/>
      <protection locked="true" hidden="false"/>
    </xf>
    <xf numFmtId="167" fontId="34" fillId="5" borderId="2" xfId="15" applyFont="true" applyBorder="true" applyAlignment="true" applyProtection="true">
      <alignment horizontal="center" vertical="center" textRotation="0" wrapText="true" indent="0" shrinkToFit="false"/>
      <protection locked="true" hidden="false"/>
    </xf>
    <xf numFmtId="164" fontId="40" fillId="0" borderId="0" xfId="0" applyFont="true" applyBorder="false" applyAlignment="true" applyProtection="false">
      <alignment horizontal="general" vertical="bottom" textRotation="0" wrapText="true" indent="0" shrinkToFit="false"/>
      <protection locked="true" hidden="false"/>
    </xf>
    <xf numFmtId="164" fontId="34" fillId="5" borderId="13" xfId="0" applyFont="true" applyBorder="true" applyAlignment="true" applyProtection="false">
      <alignment horizontal="center" vertical="center" textRotation="0" wrapText="true" indent="0" shrinkToFit="false"/>
      <protection locked="true" hidden="false"/>
    </xf>
    <xf numFmtId="164" fontId="34" fillId="5"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Título 1 1" xfId="20"/>
    <cellStyle name="Título 1 1 1"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53735"/>
      <rgbColor rgb="FFFDEADA"/>
      <rgbColor rgb="FFF2F2F2"/>
      <rgbColor rgb="FF660066"/>
      <rgbColor rgb="FFFF8080"/>
      <rgbColor rgb="FF0066CC"/>
      <rgbColor rgb="FFD3D3D3"/>
      <rgbColor rgb="FF000080"/>
      <rgbColor rgb="FFFF00FF"/>
      <rgbColor rgb="FFFFFF00"/>
      <rgbColor rgb="FF00FFFF"/>
      <rgbColor rgb="FF800080"/>
      <rgbColor rgb="FF800000"/>
      <rgbColor rgb="FF008080"/>
      <rgbColor rgb="FF0000FF"/>
      <rgbColor rgb="FF00CCFF"/>
      <rgbColor rgb="FFCCFFFF"/>
      <rgbColor rgb="FFCCFFCC"/>
      <rgbColor rgb="FFFCD5B5"/>
      <rgbColor rgb="FF99CCFF"/>
      <rgbColor rgb="FFFF99CC"/>
      <rgbColor rgb="FFCC99FF"/>
      <rgbColor rgb="FFFAC090"/>
      <rgbColor rgb="FF3366FF"/>
      <rgbColor rgb="FF33CCCC"/>
      <rgbColor rgb="FF99CC00"/>
      <rgbColor rgb="FFFFCC00"/>
      <rgbColor rgb="FFF79646"/>
      <rgbColor rgb="FFD55816"/>
      <rgbColor rgb="FF666699"/>
      <rgbColor rgb="FF969696"/>
      <rgbColor rgb="FF003366"/>
      <rgbColor rgb="FF339966"/>
      <rgbColor rgb="FF003300"/>
      <rgbColor rgb="FF333300"/>
      <rgbColor rgb="FF984807"/>
      <rgbColor rgb="FF993366"/>
      <rgbColor rgb="FF333399"/>
      <rgbColor rgb="FF63252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36</xdr:row>
      <xdr:rowOff>8640</xdr:rowOff>
    </xdr:from>
    <xdr:to>
      <xdr:col>1</xdr:col>
      <xdr:colOff>360</xdr:colOff>
      <xdr:row>37</xdr:row>
      <xdr:rowOff>37080</xdr:rowOff>
    </xdr:to>
    <xdr:sp>
      <xdr:nvSpPr>
        <xdr:cNvPr id="0" name="CustomShape 1"/>
        <xdr:cNvSpPr/>
      </xdr:nvSpPr>
      <xdr:spPr>
        <a:xfrm>
          <a:off x="79200" y="7856280"/>
          <a:ext cx="360" cy="228600"/>
        </a:xfrm>
        <a:prstGeom prst="rect">
          <a:avLst/>
        </a:prstGeom>
        <a:no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9360</xdr:rowOff>
    </xdr:from>
    <xdr:to>
      <xdr:col>1</xdr:col>
      <xdr:colOff>360</xdr:colOff>
      <xdr:row>25</xdr:row>
      <xdr:rowOff>37440</xdr:rowOff>
    </xdr:to>
    <xdr:sp>
      <xdr:nvSpPr>
        <xdr:cNvPr id="1" name="CustomShape 1"/>
        <xdr:cNvSpPr/>
      </xdr:nvSpPr>
      <xdr:spPr>
        <a:xfrm>
          <a:off x="79200" y="4880160"/>
          <a:ext cx="360" cy="228240"/>
        </a:xfrm>
        <a:prstGeom prst="rect">
          <a:avLst/>
        </a:prstGeom>
        <a:no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9360</xdr:rowOff>
    </xdr:from>
    <xdr:to>
      <xdr:col>1</xdr:col>
      <xdr:colOff>360</xdr:colOff>
      <xdr:row>25</xdr:row>
      <xdr:rowOff>37440</xdr:rowOff>
    </xdr:to>
    <xdr:sp>
      <xdr:nvSpPr>
        <xdr:cNvPr id="2" name="CustomShape 1"/>
        <xdr:cNvSpPr/>
      </xdr:nvSpPr>
      <xdr:spPr>
        <a:xfrm>
          <a:off x="79200" y="4880160"/>
          <a:ext cx="360" cy="228240"/>
        </a:xfrm>
        <a:prstGeom prst="rect">
          <a:avLst/>
        </a:prstGeom>
        <a:noFill/>
        <a:ln>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7560</xdr:rowOff>
    </xdr:from>
    <xdr:to>
      <xdr:col>1</xdr:col>
      <xdr:colOff>360</xdr:colOff>
      <xdr:row>25</xdr:row>
      <xdr:rowOff>35640</xdr:rowOff>
    </xdr:to>
    <xdr:sp>
      <xdr:nvSpPr>
        <xdr:cNvPr id="3" name="CustomShape 1"/>
        <xdr:cNvSpPr/>
      </xdr:nvSpPr>
      <xdr:spPr>
        <a:xfrm>
          <a:off x="79200" y="4878360"/>
          <a:ext cx="360" cy="228240"/>
        </a:xfrm>
        <a:prstGeom prst="rect">
          <a:avLst/>
        </a:prstGeom>
        <a:noFill/>
        <a:ln>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7560</xdr:rowOff>
    </xdr:from>
    <xdr:to>
      <xdr:col>1</xdr:col>
      <xdr:colOff>360</xdr:colOff>
      <xdr:row>25</xdr:row>
      <xdr:rowOff>35640</xdr:rowOff>
    </xdr:to>
    <xdr:sp>
      <xdr:nvSpPr>
        <xdr:cNvPr id="4" name="CustomShape 1"/>
        <xdr:cNvSpPr/>
      </xdr:nvSpPr>
      <xdr:spPr>
        <a:xfrm>
          <a:off x="79200" y="4878360"/>
          <a:ext cx="360" cy="228240"/>
        </a:xfrm>
        <a:prstGeom prst="rect">
          <a:avLst/>
        </a:prstGeom>
        <a:noFill/>
        <a:ln>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24</xdr:row>
      <xdr:rowOff>7560</xdr:rowOff>
    </xdr:from>
    <xdr:to>
      <xdr:col>1</xdr:col>
      <xdr:colOff>360</xdr:colOff>
      <xdr:row>25</xdr:row>
      <xdr:rowOff>35640</xdr:rowOff>
    </xdr:to>
    <xdr:sp>
      <xdr:nvSpPr>
        <xdr:cNvPr id="5" name="CustomShape 1"/>
        <xdr:cNvSpPr/>
      </xdr:nvSpPr>
      <xdr:spPr>
        <a:xfrm>
          <a:off x="79200" y="4878360"/>
          <a:ext cx="360" cy="228240"/>
        </a:xfrm>
        <a:prstGeom prst="rect">
          <a:avLst/>
        </a:prstGeom>
        <a:noFill/>
        <a:ln>
          <a:noFill/>
        </a:ln>
      </xdr:spPr>
      <xdr:style>
        <a:lnRef idx="0"/>
        <a:fillRef idx="0"/>
        <a:effectRef idx="0"/>
        <a:fontRef idx="minor"/>
      </xdr:style>
    </xdr:sp>
    <xdr:clientData/>
  </xdr:twoCellAnchor>
</xdr:wsDr>
</file>

<file path=xl/worksheets/_rels/sheet11.xml.rels><?xml version="1.0" encoding="UTF-8"?>
<Relationships xmlns="http://schemas.openxmlformats.org/package/2006/relationships"><Relationship Id="rId1" Type="http://schemas.openxmlformats.org/officeDocument/2006/relationships/drawing" Target="../drawings/drawing3.xml"/>
</Relationships>
</file>

<file path=xl/worksheets/_rels/sheet13.xml.rels><?xml version="1.0" encoding="UTF-8"?>
<Relationships xmlns="http://schemas.openxmlformats.org/package/2006/relationships"><Relationship Id="rId1" Type="http://schemas.openxmlformats.org/officeDocument/2006/relationships/drawing" Target="../drawings/drawing4.xml"/>
</Relationships>
</file>

<file path=xl/worksheets/_rels/sheet15.xml.rels><?xml version="1.0" encoding="UTF-8"?>
<Relationships xmlns="http://schemas.openxmlformats.org/package/2006/relationships"><Relationship Id="rId1" Type="http://schemas.openxmlformats.org/officeDocument/2006/relationships/drawing" Target="../drawings/drawing5.xml"/>
</Relationships>
</file>

<file path=xl/worksheets/_rels/sheet17.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1.xml"/>
</Relationships>
</file>

<file path=xl/worksheets/_rels/sheet9.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1048576"/>
  <sheetViews>
    <sheetView showFormulas="false" showGridLines="true" showRowColHeaders="true" showZeros="true" rightToLeft="false" tabSelected="true" showOutlineSymbols="true" defaultGridColor="true" view="normal" topLeftCell="A61" colorId="64" zoomScale="113" zoomScaleNormal="113" zoomScalePageLayoutView="100" workbookViewId="0">
      <selection pane="topLeft" activeCell="E69" activeCellId="0" sqref="E69"/>
    </sheetView>
  </sheetViews>
  <sheetFormatPr defaultRowHeight="13.8"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47.97"/>
    <col collapsed="false" customWidth="true" hidden="false" outlineLevel="0" max="4" min="4" style="1" width="11.26"/>
    <col collapsed="false" customWidth="true" hidden="false" outlineLevel="0" max="5" min="5" style="1" width="11.7"/>
    <col collapsed="false" customWidth="true" hidden="false" outlineLevel="0" max="6" min="6" style="1" width="12.13"/>
    <col collapsed="false" customWidth="true" hidden="false" outlineLevel="0" max="7" min="7" style="1" width="10.96"/>
    <col collapsed="false" customWidth="true" hidden="false" outlineLevel="0" max="8" min="8" style="1" width="12.43"/>
    <col collapsed="false" customWidth="true" hidden="false" outlineLevel="0" max="9" min="9" style="1" width="10.53"/>
    <col collapsed="false" customWidth="true" hidden="false" outlineLevel="0" max="10" min="10" style="1" width="11.86"/>
    <col collapsed="false" customWidth="false" hidden="false" outlineLevel="0" max="11" min="11" style="1" width="11.57"/>
    <col collapsed="false" customWidth="true" hidden="false" outlineLevel="0" max="12" min="12" style="1" width="12.14"/>
    <col collapsed="false" customWidth="true" hidden="false" outlineLevel="0" max="15" min="13" style="1" width="13.02"/>
    <col collapsed="false" customWidth="true" hidden="false" outlineLevel="0" max="17" min="16" style="1" width="12.57"/>
    <col collapsed="false" customWidth="true" hidden="false" outlineLevel="0" max="1023" min="18" style="1" width="9.13"/>
    <col collapsed="false" customWidth="false" hidden="false" outlineLevel="0" max="1025" min="1024" style="0" width="11.52"/>
  </cols>
  <sheetData>
    <row r="1" customFormat="false" ht="20.25" hidden="false" customHeight="true" outlineLevel="0" collapsed="false">
      <c r="B1" s="2" t="s">
        <v>0</v>
      </c>
      <c r="C1" s="2"/>
      <c r="D1" s="2"/>
      <c r="E1" s="2"/>
      <c r="F1" s="2"/>
      <c r="H1" s="3"/>
      <c r="I1" s="3"/>
      <c r="J1" s="3"/>
      <c r="K1" s="3"/>
      <c r="L1" s="3"/>
      <c r="M1" s="3"/>
      <c r="N1" s="3"/>
      <c r="O1" s="3"/>
      <c r="P1" s="3"/>
      <c r="Q1" s="3"/>
      <c r="R1" s="3"/>
    </row>
    <row r="2" customFormat="false" ht="17.35" hidden="false" customHeight="false" outlineLevel="0" collapsed="false">
      <c r="B2" s="2" t="s">
        <v>1</v>
      </c>
      <c r="C2" s="2"/>
      <c r="D2" s="2"/>
      <c r="E2" s="4" t="s">
        <v>2</v>
      </c>
      <c r="F2" s="5"/>
      <c r="H2" s="3"/>
      <c r="I2" s="3"/>
      <c r="J2" s="3"/>
      <c r="K2" s="3"/>
      <c r="L2" s="3"/>
      <c r="M2" s="3"/>
      <c r="N2" s="3"/>
      <c r="O2" s="3"/>
      <c r="P2" s="3"/>
      <c r="Q2" s="3"/>
      <c r="R2" s="3"/>
    </row>
    <row r="3" s="3" customFormat="true" ht="25.5" hidden="false" customHeight="true" outlineLevel="0" collapsed="false">
      <c r="B3" s="6" t="s">
        <v>3</v>
      </c>
      <c r="C3" s="6"/>
      <c r="D3" s="6"/>
      <c r="E3" s="6"/>
      <c r="F3" s="6"/>
      <c r="AMJ3" s="0"/>
    </row>
    <row r="4" s="3" customFormat="true" ht="15.95" hidden="false" customHeight="true" outlineLevel="0" collapsed="false">
      <c r="B4" s="7" t="s">
        <v>4</v>
      </c>
      <c r="C4" s="7"/>
      <c r="D4" s="7"/>
      <c r="E4" s="7"/>
      <c r="F4" s="7"/>
      <c r="AMJ4" s="0"/>
    </row>
    <row r="5" s="3" customFormat="true" ht="15.95" hidden="false" customHeight="true" outlineLevel="0" collapsed="false">
      <c r="B5" s="8" t="s">
        <v>5</v>
      </c>
      <c r="C5" s="8"/>
      <c r="D5" s="9" t="s">
        <v>6</v>
      </c>
      <c r="E5" s="9"/>
      <c r="F5" s="9"/>
      <c r="AMJ5" s="0"/>
    </row>
    <row r="6" s="3" customFormat="true" ht="13.8" hidden="false" customHeight="false" outlineLevel="0" collapsed="false">
      <c r="B6" s="10" t="s">
        <v>7</v>
      </c>
      <c r="C6" s="10"/>
      <c r="D6" s="11" t="s">
        <v>8</v>
      </c>
      <c r="E6" s="11"/>
      <c r="F6" s="12" t="s">
        <v>9</v>
      </c>
      <c r="AMJ6" s="0"/>
    </row>
    <row r="7" s="3" customFormat="true" ht="15.75" hidden="false" customHeight="true" outlineLevel="0" collapsed="false">
      <c r="B7" s="8" t="s">
        <v>10</v>
      </c>
      <c r="C7" s="8"/>
      <c r="D7" s="12" t="s">
        <v>11</v>
      </c>
      <c r="E7" s="12"/>
      <c r="F7" s="12" t="s">
        <v>12</v>
      </c>
      <c r="AMJ7" s="0"/>
    </row>
    <row r="8" s="13" customFormat="true" ht="13.8" hidden="false" customHeight="false" outlineLevel="0" collapsed="false">
      <c r="C8" s="14"/>
      <c r="D8" s="15"/>
      <c r="E8" s="15"/>
      <c r="F8" s="16"/>
      <c r="H8" s="3"/>
      <c r="I8" s="3"/>
      <c r="J8" s="3"/>
      <c r="K8" s="3"/>
      <c r="L8" s="3"/>
      <c r="M8" s="3"/>
      <c r="N8" s="3"/>
      <c r="O8" s="3"/>
      <c r="P8" s="3"/>
      <c r="Q8" s="3"/>
      <c r="R8" s="3"/>
      <c r="AMJ8" s="0"/>
    </row>
    <row r="9" s="13" customFormat="true" ht="13.8" hidden="false" customHeight="false" outlineLevel="0" collapsed="false">
      <c r="C9" s="14"/>
      <c r="D9" s="15"/>
      <c r="E9" s="15"/>
      <c r="F9" s="16"/>
      <c r="H9" s="3"/>
      <c r="I9" s="3"/>
      <c r="J9" s="3"/>
      <c r="K9" s="3"/>
      <c r="L9" s="3"/>
      <c r="M9" s="3"/>
      <c r="N9" s="3"/>
      <c r="O9" s="3"/>
      <c r="P9" s="3"/>
      <c r="Q9" s="3"/>
      <c r="R9" s="3"/>
      <c r="AMJ9" s="0"/>
    </row>
    <row r="10" s="13" customFormat="true" ht="15.75" hidden="false" customHeight="true" outlineLevel="0" collapsed="false">
      <c r="B10" s="7" t="s">
        <v>13</v>
      </c>
      <c r="C10" s="7"/>
      <c r="D10" s="7"/>
      <c r="E10" s="7"/>
      <c r="F10" s="7"/>
      <c r="H10" s="3"/>
      <c r="I10" s="3"/>
      <c r="J10" s="3"/>
      <c r="K10" s="3"/>
      <c r="L10" s="3"/>
      <c r="M10" s="3"/>
      <c r="N10" s="3"/>
      <c r="O10" s="3"/>
      <c r="P10" s="3"/>
      <c r="Q10" s="3"/>
      <c r="R10" s="3"/>
      <c r="AMJ10" s="0"/>
    </row>
    <row r="11" s="3" customFormat="true" ht="18" hidden="false" customHeight="true" outlineLevel="0" collapsed="false">
      <c r="B11" s="17" t="s">
        <v>14</v>
      </c>
      <c r="C11" s="8" t="s">
        <v>15</v>
      </c>
      <c r="D11" s="8"/>
      <c r="E11" s="8"/>
      <c r="F11" s="18" t="s">
        <v>16</v>
      </c>
      <c r="AMJ11" s="0"/>
    </row>
    <row r="12" s="3" customFormat="true" ht="15.95" hidden="false" customHeight="true" outlineLevel="0" collapsed="false">
      <c r="B12" s="19" t="s">
        <v>17</v>
      </c>
      <c r="C12" s="20" t="s">
        <v>18</v>
      </c>
      <c r="D12" s="21"/>
      <c r="E12" s="21"/>
      <c r="F12" s="21"/>
      <c r="AMJ12" s="0"/>
    </row>
    <row r="13" s="3" customFormat="true" ht="15.95" hidden="false" customHeight="true" outlineLevel="0" collapsed="false">
      <c r="B13" s="17" t="s">
        <v>19</v>
      </c>
      <c r="C13" s="8" t="s">
        <v>20</v>
      </c>
      <c r="D13" s="8"/>
      <c r="E13" s="8"/>
      <c r="F13" s="22" t="s">
        <v>21</v>
      </c>
      <c r="AMJ13" s="0"/>
    </row>
    <row r="14" s="3" customFormat="true" ht="16.5" hidden="false" customHeight="true" outlineLevel="0" collapsed="false">
      <c r="B14" s="19" t="s">
        <v>22</v>
      </c>
      <c r="C14" s="23" t="s">
        <v>23</v>
      </c>
      <c r="D14" s="23"/>
      <c r="E14" s="23"/>
      <c r="F14" s="12" t="s">
        <v>24</v>
      </c>
      <c r="AMJ14" s="0"/>
    </row>
    <row r="15" s="3" customFormat="true" ht="15.95" hidden="false" customHeight="true" outlineLevel="0" collapsed="false">
      <c r="B15" s="19" t="s">
        <v>25</v>
      </c>
      <c r="C15" s="8" t="s">
        <v>26</v>
      </c>
      <c r="D15" s="8"/>
      <c r="E15" s="8"/>
      <c r="F15" s="24" t="n">
        <v>12</v>
      </c>
      <c r="AMJ15" s="0"/>
    </row>
    <row r="16" s="3" customFormat="true" ht="15.95" hidden="false" customHeight="true" outlineLevel="0" collapsed="false">
      <c r="A16" s="13"/>
      <c r="B16" s="13"/>
      <c r="C16" s="14"/>
      <c r="D16" s="15"/>
      <c r="E16" s="15"/>
      <c r="F16" s="16"/>
      <c r="AMJ16" s="0"/>
    </row>
    <row r="17" s="3" customFormat="true" ht="16.5" hidden="false" customHeight="true" outlineLevel="0" collapsed="false">
      <c r="A17" s="13"/>
      <c r="B17" s="7" t="s">
        <v>27</v>
      </c>
      <c r="C17" s="7"/>
      <c r="D17" s="7"/>
      <c r="E17" s="7"/>
      <c r="F17" s="7"/>
      <c r="AMJ17" s="0"/>
    </row>
    <row r="18" s="25" customFormat="true" ht="32.25" hidden="false" customHeight="true" outlineLevel="0" collapsed="false">
      <c r="B18" s="26" t="s">
        <v>28</v>
      </c>
      <c r="C18" s="19" t="s">
        <v>29</v>
      </c>
      <c r="D18" s="27" t="s">
        <v>30</v>
      </c>
      <c r="E18" s="28" t="s">
        <v>31</v>
      </c>
      <c r="F18" s="28" t="s">
        <v>32</v>
      </c>
      <c r="H18" s="3"/>
      <c r="I18" s="3"/>
      <c r="J18" s="3"/>
      <c r="K18" s="3"/>
      <c r="L18" s="3"/>
      <c r="M18" s="3"/>
      <c r="N18" s="3"/>
      <c r="O18" s="3"/>
      <c r="P18" s="3"/>
      <c r="Q18" s="3"/>
      <c r="R18" s="3"/>
      <c r="AMJ18" s="0"/>
    </row>
    <row r="19" s="3" customFormat="true" ht="16.5" hidden="false" customHeight="true" outlineLevel="0" collapsed="false">
      <c r="B19" s="17" t="s">
        <v>33</v>
      </c>
      <c r="C19" s="29" t="s">
        <v>34</v>
      </c>
      <c r="D19" s="30" t="s">
        <v>35</v>
      </c>
      <c r="E19" s="31" t="n">
        <v>1</v>
      </c>
      <c r="F19" s="32" t="n">
        <v>1032</v>
      </c>
      <c r="AMJ19" s="0"/>
    </row>
    <row r="20" s="3" customFormat="true" ht="16.5" hidden="false" customHeight="true" outlineLevel="0" collapsed="false">
      <c r="B20" s="19" t="s">
        <v>36</v>
      </c>
      <c r="C20" s="33" t="s">
        <v>37</v>
      </c>
      <c r="D20" s="30" t="s">
        <v>35</v>
      </c>
      <c r="E20" s="34" t="n">
        <f aca="false">'QTDE-ESTIMADA-SERVENTES'!E29</f>
        <v>6</v>
      </c>
      <c r="F20" s="32" t="n">
        <v>1032</v>
      </c>
      <c r="AMJ20" s="0"/>
    </row>
    <row r="21" s="13" customFormat="true" ht="16.5" hidden="false" customHeight="true" outlineLevel="0" collapsed="false">
      <c r="A21" s="3"/>
      <c r="B21" s="17" t="s">
        <v>38</v>
      </c>
      <c r="C21" s="29" t="s">
        <v>39</v>
      </c>
      <c r="D21" s="30" t="s">
        <v>35</v>
      </c>
      <c r="E21" s="35" t="n">
        <f aca="false">'QTDE-ESTIMADA-SERVENTES'!E44+'QTDE-ESTIMADA-SERVENTES'!E60+'QTDE-ESTIMADA-SERVENTES'!E75+'QTDE-ESTIMADA-SERVENTES'!E90+'QTDE-ESTIMADA-SERVENTES'!E105</f>
        <v>6</v>
      </c>
      <c r="F21" s="32" t="n">
        <v>1032</v>
      </c>
      <c r="H21" s="3"/>
      <c r="I21" s="3"/>
      <c r="J21" s="3"/>
      <c r="K21" s="3"/>
      <c r="L21" s="3"/>
      <c r="M21" s="3"/>
      <c r="N21" s="3"/>
      <c r="O21" s="3"/>
      <c r="P21" s="3"/>
      <c r="Q21" s="3"/>
      <c r="R21" s="3"/>
      <c r="AMJ21" s="0"/>
    </row>
    <row r="22" s="3" customFormat="true" ht="15.95" hidden="false" customHeight="true" outlineLevel="0" collapsed="false">
      <c r="B22" s="36"/>
      <c r="C22" s="36"/>
      <c r="D22" s="36"/>
      <c r="E22" s="36"/>
      <c r="F22" s="36"/>
      <c r="AMJ22" s="0"/>
    </row>
    <row r="23" s="3" customFormat="true" ht="15" hidden="false" customHeight="true" outlineLevel="0" collapsed="false">
      <c r="B23" s="7" t="s">
        <v>40</v>
      </c>
      <c r="C23" s="7"/>
      <c r="D23" s="7"/>
      <c r="E23" s="7"/>
      <c r="F23" s="7"/>
      <c r="AMJ23" s="0"/>
    </row>
    <row r="24" s="3" customFormat="true" ht="15" hidden="false" customHeight="true" outlineLevel="0" collapsed="false">
      <c r="B24" s="17" t="n">
        <v>1</v>
      </c>
      <c r="C24" s="8" t="s">
        <v>41</v>
      </c>
      <c r="D24" s="8"/>
      <c r="E24" s="24" t="s">
        <v>42</v>
      </c>
      <c r="F24" s="24"/>
      <c r="AMJ24" s="0"/>
    </row>
    <row r="25" s="3" customFormat="true" ht="15" hidden="false" customHeight="true" outlineLevel="0" collapsed="false">
      <c r="A25" s="13"/>
      <c r="B25" s="17" t="n">
        <v>2</v>
      </c>
      <c r="C25" s="37" t="s">
        <v>43</v>
      </c>
      <c r="D25" s="38" t="s">
        <v>44</v>
      </c>
      <c r="E25" s="38"/>
      <c r="F25" s="38"/>
      <c r="AMJ25" s="0"/>
    </row>
    <row r="26" s="3" customFormat="true" ht="15.95" hidden="false" customHeight="true" outlineLevel="0" collapsed="false">
      <c r="B26" s="17" t="n">
        <v>3</v>
      </c>
      <c r="C26" s="8" t="s">
        <v>45</v>
      </c>
      <c r="D26" s="8"/>
      <c r="E26" s="8"/>
      <c r="F26" s="18" t="n">
        <v>43466</v>
      </c>
      <c r="AMJ26" s="0"/>
    </row>
    <row r="27" s="3" customFormat="true" ht="15.95" hidden="false" customHeight="true" outlineLevel="0" collapsed="false">
      <c r="B27" s="17" t="n">
        <v>4</v>
      </c>
      <c r="C27" s="10" t="s">
        <v>46</v>
      </c>
      <c r="D27" s="10"/>
      <c r="E27" s="10"/>
      <c r="F27" s="39" t="n">
        <v>998</v>
      </c>
      <c r="AMJ27" s="0"/>
    </row>
    <row r="28" s="3" customFormat="true" ht="13.8" hidden="false" customHeight="false" outlineLevel="0" collapsed="false">
      <c r="B28" s="40"/>
      <c r="C28" s="41"/>
      <c r="D28" s="41"/>
      <c r="E28" s="41"/>
      <c r="F28" s="42"/>
      <c r="AMJ28" s="0"/>
    </row>
    <row r="29" s="3" customFormat="true" ht="19.7" hidden="false" customHeight="false" outlineLevel="0" collapsed="false">
      <c r="B29" s="43" t="s">
        <v>47</v>
      </c>
      <c r="C29" s="1"/>
      <c r="D29" s="1"/>
      <c r="E29" s="1"/>
      <c r="F29" s="1"/>
      <c r="AMJ29" s="0"/>
    </row>
    <row r="30" customFormat="false" ht="13.8" hidden="false" customHeight="false" outlineLevel="0" collapsed="false">
      <c r="B30" s="44" t="s">
        <v>48</v>
      </c>
      <c r="E30" s="45"/>
      <c r="F30" s="45"/>
      <c r="H30" s="3"/>
      <c r="I30" s="3"/>
      <c r="J30" s="3"/>
      <c r="K30" s="3"/>
      <c r="L30" s="3"/>
      <c r="M30" s="3"/>
      <c r="N30" s="3"/>
      <c r="O30" s="3"/>
      <c r="P30" s="3"/>
      <c r="Q30" s="3"/>
      <c r="R30" s="3"/>
    </row>
    <row r="31" customFormat="false" ht="16.5" hidden="false" customHeight="true" outlineLevel="0" collapsed="false">
      <c r="B31" s="19" t="n">
        <v>1</v>
      </c>
      <c r="C31" s="46" t="s">
        <v>49</v>
      </c>
      <c r="D31" s="46"/>
      <c r="E31" s="46"/>
      <c r="F31" s="47" t="s">
        <v>50</v>
      </c>
      <c r="H31" s="3"/>
      <c r="I31" s="3"/>
      <c r="J31" s="3"/>
      <c r="K31" s="3"/>
      <c r="L31" s="3"/>
      <c r="M31" s="3"/>
      <c r="N31" s="3"/>
      <c r="O31" s="3"/>
      <c r="P31" s="3"/>
      <c r="Q31" s="3"/>
      <c r="R31" s="3"/>
    </row>
    <row r="32" customFormat="false" ht="16.5" hidden="false" customHeight="true" outlineLevel="0" collapsed="false">
      <c r="B32" s="19" t="s">
        <v>14</v>
      </c>
      <c r="C32" s="48" t="s">
        <v>51</v>
      </c>
      <c r="D32" s="48"/>
      <c r="E32" s="48"/>
      <c r="F32" s="49"/>
    </row>
    <row r="33" customFormat="false" ht="16.5" hidden="false" customHeight="true" outlineLevel="0" collapsed="false">
      <c r="B33" s="19" t="s">
        <v>17</v>
      </c>
      <c r="C33" s="50" t="s">
        <v>52</v>
      </c>
      <c r="D33" s="50"/>
      <c r="E33" s="50"/>
      <c r="F33" s="51" t="n">
        <v>158.12</v>
      </c>
      <c r="P33" s="52"/>
    </row>
    <row r="34" customFormat="false" ht="16.5" hidden="false" customHeight="true" outlineLevel="0" collapsed="false">
      <c r="B34" s="19" t="s">
        <v>19</v>
      </c>
      <c r="C34" s="50" t="s">
        <v>53</v>
      </c>
      <c r="D34" s="50"/>
      <c r="E34" s="50"/>
      <c r="F34" s="51"/>
      <c r="H34" s="52"/>
      <c r="I34" s="52"/>
      <c r="J34" s="52"/>
      <c r="K34" s="52"/>
      <c r="L34" s="52"/>
      <c r="M34" s="52"/>
      <c r="N34" s="52"/>
      <c r="O34" s="52"/>
      <c r="P34" s="52"/>
      <c r="Q34" s="52"/>
    </row>
    <row r="35" customFormat="false" ht="16.5" hidden="false" customHeight="true" outlineLevel="0" collapsed="false">
      <c r="B35" s="19" t="s">
        <v>22</v>
      </c>
      <c r="C35" s="50" t="s">
        <v>54</v>
      </c>
      <c r="D35" s="50"/>
      <c r="E35" s="50"/>
      <c r="F35" s="51"/>
      <c r="H35" s="52"/>
      <c r="I35" s="52"/>
      <c r="J35" s="52"/>
      <c r="K35" s="52"/>
      <c r="L35" s="52"/>
      <c r="M35" s="52"/>
      <c r="N35" s="52"/>
      <c r="O35" s="52"/>
      <c r="P35" s="3"/>
      <c r="Q35" s="52"/>
    </row>
    <row r="36" s="52" customFormat="true" ht="13.8" hidden="false" customHeight="false" outlineLevel="0" collapsed="false">
      <c r="H36" s="3"/>
      <c r="I36" s="3"/>
      <c r="J36" s="3"/>
      <c r="K36" s="3"/>
      <c r="L36" s="3"/>
      <c r="M36" s="3"/>
      <c r="N36" s="3"/>
      <c r="O36" s="3"/>
      <c r="P36" s="13"/>
      <c r="Q36" s="3"/>
      <c r="AMJ36" s="0"/>
    </row>
    <row r="37" s="52" customFormat="true" ht="13.8" hidden="false" customHeight="false" outlineLevel="0" collapsed="false">
      <c r="A37" s="1"/>
      <c r="B37" s="44" t="s">
        <v>55</v>
      </c>
      <c r="C37" s="1"/>
      <c r="D37" s="1"/>
      <c r="E37" s="53"/>
      <c r="F37" s="53"/>
      <c r="H37" s="13"/>
      <c r="I37" s="13"/>
      <c r="J37" s="13"/>
      <c r="K37" s="13"/>
      <c r="L37" s="13"/>
      <c r="M37" s="13"/>
      <c r="N37" s="13"/>
      <c r="O37" s="13"/>
      <c r="Q37" s="13"/>
      <c r="AMJ37" s="0"/>
    </row>
    <row r="38" s="52" customFormat="true" ht="13.8" hidden="false" customHeight="false" outlineLevel="0" collapsed="false">
      <c r="A38" s="1"/>
      <c r="B38" s="44" t="s">
        <v>56</v>
      </c>
      <c r="C38" s="13"/>
      <c r="D38" s="13"/>
      <c r="E38" s="13"/>
      <c r="F38" s="13"/>
      <c r="AMJ38" s="0"/>
    </row>
    <row r="39" s="52" customFormat="true" ht="15" hidden="false" customHeight="true" outlineLevel="0" collapsed="false">
      <c r="A39" s="1"/>
      <c r="B39" s="19" t="s">
        <v>57</v>
      </c>
      <c r="C39" s="46" t="s">
        <v>58</v>
      </c>
      <c r="D39" s="46"/>
      <c r="E39" s="47" t="s">
        <v>59</v>
      </c>
      <c r="F39" s="47" t="s">
        <v>60</v>
      </c>
      <c r="AMJ39" s="0"/>
    </row>
    <row r="40" s="52" customFormat="true" ht="13.8" hidden="false" customHeight="false" outlineLevel="0" collapsed="false">
      <c r="A40" s="1"/>
      <c r="B40" s="54" t="s">
        <v>14</v>
      </c>
      <c r="C40" s="55" t="s">
        <v>61</v>
      </c>
      <c r="D40" s="55"/>
      <c r="E40" s="55"/>
      <c r="F40" s="55"/>
      <c r="AMJ40" s="0"/>
    </row>
    <row r="41" s="52" customFormat="true" ht="16.4" hidden="false" customHeight="false" outlineLevel="0" collapsed="false">
      <c r="A41" s="1"/>
      <c r="B41" s="54" t="s">
        <v>62</v>
      </c>
      <c r="C41" s="8" t="s">
        <v>63</v>
      </c>
      <c r="D41" s="8"/>
      <c r="E41" s="24" t="s">
        <v>64</v>
      </c>
      <c r="F41" s="56" t="n">
        <f aca="false">3.95*2</f>
        <v>7.9</v>
      </c>
      <c r="AMJ41" s="0"/>
    </row>
    <row r="42" s="52" customFormat="true" ht="16.4" hidden="false" customHeight="false" outlineLevel="0" collapsed="false">
      <c r="A42" s="1"/>
      <c r="B42" s="54" t="s">
        <v>65</v>
      </c>
      <c r="C42" s="8" t="s">
        <v>66</v>
      </c>
      <c r="D42" s="8"/>
      <c r="E42" s="24" t="s">
        <v>64</v>
      </c>
      <c r="F42" s="56" t="n">
        <f aca="false">3.3*2</f>
        <v>6.6</v>
      </c>
      <c r="AMJ42" s="0"/>
    </row>
    <row r="43" s="52" customFormat="true" ht="16.4" hidden="false" customHeight="false" outlineLevel="0" collapsed="false">
      <c r="A43" s="1"/>
      <c r="B43" s="54" t="s">
        <v>67</v>
      </c>
      <c r="C43" s="8" t="s">
        <v>68</v>
      </c>
      <c r="D43" s="8"/>
      <c r="E43" s="24" t="s">
        <v>64</v>
      </c>
      <c r="F43" s="56" t="n">
        <f aca="false">3.6*2</f>
        <v>7.2</v>
      </c>
      <c r="AMJ43" s="0"/>
    </row>
    <row r="44" s="52" customFormat="true" ht="16.4" hidden="false" customHeight="false" outlineLevel="0" collapsed="false">
      <c r="A44" s="1"/>
      <c r="B44" s="54" t="s">
        <v>69</v>
      </c>
      <c r="C44" s="8" t="s">
        <v>70</v>
      </c>
      <c r="D44" s="8"/>
      <c r="E44" s="24" t="s">
        <v>64</v>
      </c>
      <c r="F44" s="56" t="n">
        <f aca="false">3.7*2</f>
        <v>7.4</v>
      </c>
      <c r="AMJ44" s="0"/>
    </row>
    <row r="45" s="52" customFormat="true" ht="16.4" hidden="false" customHeight="false" outlineLevel="0" collapsed="false">
      <c r="A45" s="1"/>
      <c r="B45" s="54" t="s">
        <v>71</v>
      </c>
      <c r="C45" s="8" t="s">
        <v>72</v>
      </c>
      <c r="D45" s="8"/>
      <c r="E45" s="24" t="s">
        <v>64</v>
      </c>
      <c r="F45" s="56" t="n">
        <f aca="false">3.75*2</f>
        <v>7.5</v>
      </c>
      <c r="AMJ45" s="0"/>
    </row>
    <row r="46" s="52" customFormat="true" ht="16.4" hidden="false" customHeight="false" outlineLevel="0" collapsed="false">
      <c r="A46" s="1"/>
      <c r="B46" s="54" t="s">
        <v>73</v>
      </c>
      <c r="C46" s="8" t="s">
        <v>74</v>
      </c>
      <c r="D46" s="8"/>
      <c r="E46" s="24" t="s">
        <v>64</v>
      </c>
      <c r="F46" s="56" t="n">
        <v>0</v>
      </c>
      <c r="AMJ46" s="0"/>
    </row>
    <row r="47" s="52" customFormat="true" ht="16.4" hidden="false" customHeight="false" outlineLevel="0" collapsed="false">
      <c r="B47" s="54" t="s">
        <v>17</v>
      </c>
      <c r="C47" s="10" t="s">
        <v>75</v>
      </c>
      <c r="D47" s="10"/>
      <c r="E47" s="57" t="s">
        <v>64</v>
      </c>
      <c r="F47" s="56" t="n">
        <v>10</v>
      </c>
      <c r="P47" s="1"/>
      <c r="AMJ47" s="0"/>
    </row>
    <row r="48" s="52" customFormat="true" ht="16.4" hidden="false" customHeight="false" outlineLevel="0" collapsed="false">
      <c r="B48" s="54" t="s">
        <v>22</v>
      </c>
      <c r="C48" s="8" t="s">
        <v>76</v>
      </c>
      <c r="D48" s="8"/>
      <c r="E48" s="24" t="s">
        <v>77</v>
      </c>
      <c r="F48" s="58" t="n">
        <v>22</v>
      </c>
      <c r="H48" s="1"/>
      <c r="I48" s="1"/>
      <c r="J48" s="1"/>
      <c r="K48" s="1"/>
      <c r="L48" s="1"/>
      <c r="M48" s="1"/>
      <c r="N48" s="1"/>
      <c r="O48" s="1"/>
      <c r="P48" s="1"/>
      <c r="Q48" s="1"/>
      <c r="AMJ48" s="0"/>
    </row>
    <row r="49" customFormat="false" ht="16.5" hidden="false" customHeight="true" outlineLevel="0" collapsed="false">
      <c r="B49" s="54" t="s">
        <v>19</v>
      </c>
      <c r="C49" s="8" t="s">
        <v>78</v>
      </c>
      <c r="D49" s="8"/>
      <c r="E49" s="24" t="s">
        <v>77</v>
      </c>
      <c r="F49" s="51" t="n">
        <v>6</v>
      </c>
      <c r="P49" s="52"/>
    </row>
    <row r="50" customFormat="false" ht="16.5" hidden="false" customHeight="true" outlineLevel="0" collapsed="false">
      <c r="B50" s="54" t="s">
        <v>25</v>
      </c>
      <c r="C50" s="8" t="s">
        <v>79</v>
      </c>
      <c r="D50" s="8"/>
      <c r="E50" s="24" t="s">
        <v>77</v>
      </c>
      <c r="F50" s="51" t="n">
        <v>9.7</v>
      </c>
      <c r="H50" s="52"/>
      <c r="I50" s="52"/>
      <c r="J50" s="52"/>
      <c r="K50" s="52"/>
      <c r="L50" s="52"/>
      <c r="M50" s="52"/>
      <c r="N50" s="52"/>
      <c r="O50" s="52"/>
      <c r="P50" s="3"/>
      <c r="Q50" s="52"/>
    </row>
    <row r="51" customFormat="false" ht="16.5" hidden="false" customHeight="true" outlineLevel="0" collapsed="false">
      <c r="B51" s="54" t="s">
        <v>80</v>
      </c>
      <c r="C51" s="8" t="s">
        <v>81</v>
      </c>
      <c r="D51" s="8"/>
      <c r="E51" s="24" t="s">
        <v>77</v>
      </c>
      <c r="F51" s="51" t="n">
        <v>4</v>
      </c>
      <c r="H51" s="3"/>
      <c r="I51" s="3"/>
      <c r="J51" s="3"/>
      <c r="K51" s="3"/>
      <c r="L51" s="3"/>
      <c r="M51" s="3"/>
      <c r="N51" s="3"/>
      <c r="O51" s="3"/>
      <c r="P51" s="3"/>
      <c r="Q51" s="3"/>
    </row>
    <row r="52" s="52" customFormat="true" ht="13.8" hidden="false" customHeight="false" outlineLevel="0" collapsed="false">
      <c r="H52" s="3"/>
      <c r="I52" s="3"/>
      <c r="J52" s="3"/>
      <c r="K52" s="3"/>
      <c r="L52" s="3"/>
      <c r="M52" s="3"/>
      <c r="N52" s="3"/>
      <c r="O52" s="3"/>
      <c r="P52" s="3"/>
      <c r="Q52" s="3"/>
      <c r="AMJ52" s="0"/>
    </row>
    <row r="53" s="3" customFormat="true" ht="13.8" hidden="false" customHeight="false" outlineLevel="0" collapsed="false">
      <c r="B53" s="44" t="s">
        <v>82</v>
      </c>
      <c r="C53" s="59"/>
      <c r="D53" s="60"/>
      <c r="E53" s="1"/>
      <c r="F53" s="1"/>
      <c r="AMJ53" s="0"/>
    </row>
    <row r="54" s="3" customFormat="true" ht="15" hidden="false" customHeight="true" outlineLevel="0" collapsed="false">
      <c r="B54" s="44" t="s">
        <v>83</v>
      </c>
      <c r="C54" s="59"/>
      <c r="D54" s="60"/>
      <c r="E54" s="61"/>
      <c r="F54" s="61"/>
      <c r="P54" s="1"/>
      <c r="AMJ54" s="0"/>
    </row>
    <row r="55" s="3" customFormat="true" ht="16.5" hidden="false" customHeight="true" outlineLevel="0" collapsed="false">
      <c r="B55" s="19" t="s">
        <v>84</v>
      </c>
      <c r="C55" s="46" t="s">
        <v>85</v>
      </c>
      <c r="D55" s="46"/>
      <c r="E55" s="46"/>
      <c r="F55" s="47" t="s">
        <v>86</v>
      </c>
      <c r="H55" s="1"/>
      <c r="I55" s="1"/>
      <c r="J55" s="1"/>
      <c r="K55" s="1"/>
      <c r="L55" s="1"/>
      <c r="M55" s="1"/>
      <c r="N55" s="1"/>
      <c r="O55" s="1"/>
      <c r="P55" s="1"/>
      <c r="Q55" s="1"/>
      <c r="AMJ55" s="0"/>
    </row>
    <row r="56" customFormat="false" ht="16.5" hidden="false" customHeight="true" outlineLevel="0" collapsed="false">
      <c r="A56" s="3"/>
      <c r="B56" s="47" t="s">
        <v>14</v>
      </c>
      <c r="C56" s="62" t="s">
        <v>87</v>
      </c>
      <c r="D56" s="62"/>
      <c r="E56" s="62"/>
      <c r="F56" s="63"/>
    </row>
    <row r="57" s="52" customFormat="true" ht="13.8" hidden="false" customHeight="false" outlineLevel="0" collapsed="false">
      <c r="H57" s="1"/>
      <c r="I57" s="1"/>
      <c r="J57" s="1"/>
      <c r="K57" s="1"/>
      <c r="L57" s="1"/>
      <c r="M57" s="1"/>
      <c r="N57" s="1"/>
      <c r="O57" s="1"/>
      <c r="P57" s="1"/>
      <c r="Q57" s="1"/>
      <c r="AMJ57" s="0"/>
    </row>
    <row r="58" customFormat="false" ht="13.8" hidden="false" customHeight="false" outlineLevel="0" collapsed="false">
      <c r="B58" s="44" t="s">
        <v>88</v>
      </c>
      <c r="C58" s="59"/>
      <c r="D58" s="60"/>
      <c r="E58" s="61"/>
      <c r="F58" s="61"/>
    </row>
    <row r="59" customFormat="false" ht="16.4" hidden="false" customHeight="false" outlineLevel="0" collapsed="false">
      <c r="B59" s="19" t="s">
        <v>89</v>
      </c>
      <c r="C59" s="64" t="s">
        <v>90</v>
      </c>
      <c r="D59" s="64"/>
      <c r="E59" s="64"/>
      <c r="F59" s="47" t="s">
        <v>91</v>
      </c>
    </row>
    <row r="60" customFormat="false" ht="16.5" hidden="false" customHeight="true" outlineLevel="0" collapsed="false">
      <c r="B60" s="19" t="s">
        <v>14</v>
      </c>
      <c r="C60" s="65" t="s">
        <v>92</v>
      </c>
      <c r="D60" s="65"/>
      <c r="E60" s="65"/>
      <c r="F60" s="49"/>
    </row>
    <row r="61" customFormat="false" ht="15" hidden="false" customHeight="true" outlineLevel="0" collapsed="false">
      <c r="B61" s="19" t="s">
        <v>17</v>
      </c>
      <c r="C61" s="23" t="s">
        <v>93</v>
      </c>
      <c r="D61" s="23"/>
      <c r="E61" s="23"/>
      <c r="F61" s="49"/>
      <c r="P61" s="52"/>
    </row>
    <row r="62" s="52" customFormat="true" ht="13.8" hidden="false" customHeight="false" outlineLevel="0" collapsed="false">
      <c r="C62" s="52" t="s">
        <v>94</v>
      </c>
      <c r="P62" s="1"/>
      <c r="AMJ62" s="0"/>
    </row>
    <row r="63" customFormat="false" ht="13.8" hidden="false" customHeight="false" outlineLevel="0" collapsed="false">
      <c r="B63" s="44" t="s">
        <v>95</v>
      </c>
      <c r="C63" s="59"/>
      <c r="D63" s="59"/>
      <c r="E63" s="61"/>
      <c r="F63" s="61"/>
    </row>
    <row r="64" customFormat="false" ht="15.75" hidden="false" customHeight="true" outlineLevel="0" collapsed="false">
      <c r="B64" s="66" t="s">
        <v>96</v>
      </c>
      <c r="C64" s="66" t="s">
        <v>97</v>
      </c>
      <c r="D64" s="66"/>
      <c r="E64" s="66"/>
      <c r="F64" s="66" t="s">
        <v>98</v>
      </c>
      <c r="P64" s="67"/>
    </row>
    <row r="65" s="52" customFormat="true" ht="13.8" hidden="false" customHeight="false" outlineLevel="0" collapsed="false">
      <c r="H65" s="68"/>
      <c r="I65" s="68"/>
      <c r="J65" s="68"/>
      <c r="K65" s="68"/>
      <c r="L65" s="68"/>
      <c r="M65" s="68"/>
      <c r="N65" s="68"/>
      <c r="O65" s="68"/>
      <c r="P65" s="68"/>
      <c r="Q65" s="68"/>
      <c r="AMJ65" s="0"/>
    </row>
    <row r="66" s="70" customFormat="true" ht="16.5" hidden="false" customHeight="true" outlineLevel="0" collapsed="false">
      <c r="A66" s="1"/>
      <c r="B66" s="69" t="s">
        <v>99</v>
      </c>
      <c r="C66" s="69"/>
      <c r="D66" s="69"/>
      <c r="E66" s="69"/>
      <c r="F66" s="69"/>
      <c r="H66" s="68"/>
      <c r="I66" s="68"/>
      <c r="J66" s="68"/>
      <c r="K66" s="68"/>
      <c r="L66" s="68"/>
      <c r="M66" s="68"/>
      <c r="N66" s="68"/>
      <c r="O66" s="68"/>
      <c r="P66" s="68"/>
      <c r="Q66" s="68"/>
      <c r="AMJ66" s="0"/>
    </row>
    <row r="67" s="68" customFormat="true" ht="49.45" hidden="false" customHeight="true" outlineLevel="0" collapsed="false">
      <c r="A67" s="1"/>
      <c r="B67" s="19" t="n">
        <v>6</v>
      </c>
      <c r="C67" s="64" t="s">
        <v>100</v>
      </c>
      <c r="D67" s="47" t="s">
        <v>101</v>
      </c>
      <c r="E67" s="47" t="s">
        <v>102</v>
      </c>
      <c r="F67" s="47" t="s">
        <v>103</v>
      </c>
      <c r="G67" s="47" t="s">
        <v>104</v>
      </c>
      <c r="H67" s="47" t="s">
        <v>105</v>
      </c>
      <c r="I67" s="47" t="s">
        <v>106</v>
      </c>
      <c r="AMJ67" s="0"/>
    </row>
    <row r="68" s="68" customFormat="true" ht="16.5" hidden="false" customHeight="true" outlineLevel="0" collapsed="false">
      <c r="A68" s="67"/>
      <c r="B68" s="19" t="s">
        <v>14</v>
      </c>
      <c r="C68" s="71" t="s">
        <v>107</v>
      </c>
      <c r="D68" s="72" t="n">
        <v>4.73</v>
      </c>
      <c r="E68" s="72" t="n">
        <v>4.73</v>
      </c>
      <c r="F68" s="72" t="n">
        <v>4.73</v>
      </c>
      <c r="G68" s="72" t="n">
        <v>4.73</v>
      </c>
      <c r="H68" s="72" t="n">
        <v>4.73</v>
      </c>
      <c r="I68" s="72" t="n">
        <v>4.73</v>
      </c>
      <c r="P68" s="1"/>
      <c r="AMJ68" s="0"/>
    </row>
    <row r="69" s="68" customFormat="true" ht="16.5" hidden="false" customHeight="true" outlineLevel="0" collapsed="false">
      <c r="A69" s="67"/>
      <c r="B69" s="47" t="s">
        <v>17</v>
      </c>
      <c r="C69" s="23" t="s">
        <v>108</v>
      </c>
      <c r="D69" s="72" t="n">
        <v>5.57</v>
      </c>
      <c r="E69" s="72" t="n">
        <v>5.57</v>
      </c>
      <c r="F69" s="72" t="n">
        <v>5.57</v>
      </c>
      <c r="G69" s="72" t="n">
        <v>5.57</v>
      </c>
      <c r="H69" s="72" t="n">
        <v>5.57</v>
      </c>
      <c r="I69" s="72" t="n">
        <v>5.57</v>
      </c>
      <c r="J69" s="1"/>
      <c r="K69" s="1"/>
      <c r="L69" s="1"/>
      <c r="M69" s="1"/>
      <c r="N69" s="1"/>
      <c r="O69" s="1"/>
      <c r="P69" s="1"/>
      <c r="Q69" s="1"/>
      <c r="AMJ69" s="0"/>
    </row>
    <row r="70" s="68" customFormat="true" ht="16.5" hidden="false" customHeight="true" outlineLevel="0" collapsed="false">
      <c r="A70" s="70"/>
      <c r="B70" s="73" t="s">
        <v>109</v>
      </c>
      <c r="C70" s="71" t="s">
        <v>110</v>
      </c>
      <c r="D70" s="72" t="n">
        <v>0.65</v>
      </c>
      <c r="E70" s="74" t="n">
        <f aca="false">D70</f>
        <v>0.65</v>
      </c>
      <c r="F70" s="74" t="n">
        <f aca="false">D70</f>
        <v>0.65</v>
      </c>
      <c r="G70" s="74" t="n">
        <f aca="false">D70</f>
        <v>0.65</v>
      </c>
      <c r="H70" s="74" t="n">
        <f aca="false">D70</f>
        <v>0.65</v>
      </c>
      <c r="I70" s="74" t="n">
        <f aca="false">D70</f>
        <v>0.65</v>
      </c>
      <c r="J70" s="1"/>
      <c r="K70" s="1"/>
      <c r="L70" s="1"/>
      <c r="M70" s="1"/>
      <c r="N70" s="1"/>
      <c r="O70" s="1"/>
      <c r="P70" s="52"/>
      <c r="Q70" s="1"/>
      <c r="AMJ70" s="0"/>
    </row>
    <row r="71" customFormat="false" ht="16.5" hidden="false" customHeight="true" outlineLevel="0" collapsed="false">
      <c r="B71" s="73" t="s">
        <v>111</v>
      </c>
      <c r="C71" s="23" t="s">
        <v>112</v>
      </c>
      <c r="D71" s="72" t="n">
        <v>3</v>
      </c>
      <c r="E71" s="75" t="n">
        <f aca="false">D71</f>
        <v>3</v>
      </c>
      <c r="F71" s="75" t="n">
        <f aca="false">D71</f>
        <v>3</v>
      </c>
      <c r="G71" s="75" t="n">
        <f aca="false">D71</f>
        <v>3</v>
      </c>
      <c r="H71" s="75" t="n">
        <f aca="false">D71</f>
        <v>3</v>
      </c>
      <c r="I71" s="75" t="n">
        <f aca="false">D71</f>
        <v>3</v>
      </c>
      <c r="J71" s="52"/>
      <c r="K71" s="52"/>
      <c r="L71" s="52"/>
      <c r="M71" s="52"/>
      <c r="N71" s="52"/>
      <c r="O71" s="52"/>
      <c r="Q71" s="52"/>
    </row>
    <row r="72" customFormat="false" ht="16.5" hidden="false" customHeight="true" outlineLevel="0" collapsed="false">
      <c r="B72" s="73" t="s">
        <v>113</v>
      </c>
      <c r="C72" s="71" t="s">
        <v>114</v>
      </c>
      <c r="D72" s="72" t="n">
        <v>5</v>
      </c>
      <c r="E72" s="72" t="n">
        <v>5</v>
      </c>
      <c r="F72" s="72" t="n">
        <v>5</v>
      </c>
      <c r="G72" s="72" t="n">
        <v>5</v>
      </c>
      <c r="H72" s="72" t="n">
        <v>5</v>
      </c>
      <c r="I72" s="72" t="n">
        <v>5</v>
      </c>
    </row>
    <row r="73" s="52" customFormat="true" ht="13.8" hidden="false" customHeight="false" outlineLevel="0" collapsed="false">
      <c r="D73" s="52" t="s">
        <v>115</v>
      </c>
      <c r="H73" s="1"/>
      <c r="I73" s="1"/>
      <c r="J73" s="1"/>
      <c r="K73" s="1"/>
      <c r="L73" s="1"/>
      <c r="M73" s="1"/>
      <c r="N73" s="1"/>
      <c r="O73" s="1"/>
      <c r="P73" s="1"/>
      <c r="Q73" s="1"/>
      <c r="AMJ73" s="0"/>
    </row>
    <row r="74" customFormat="false" ht="17.35" hidden="false" customHeight="false" outlineLevel="0" collapsed="false">
      <c r="B74" s="76" t="s">
        <v>116</v>
      </c>
      <c r="C74" s="77"/>
      <c r="D74" s="77"/>
      <c r="E74" s="77"/>
      <c r="F74" s="78"/>
    </row>
    <row r="75" customFormat="false" ht="33.75" hidden="false" customHeight="true" outlineLevel="0" collapsed="false">
      <c r="B75" s="79" t="s">
        <v>117</v>
      </c>
      <c r="C75" s="79"/>
      <c r="D75" s="79"/>
      <c r="E75" s="79"/>
      <c r="F75" s="79"/>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9">
    <mergeCell ref="B1:F1"/>
    <mergeCell ref="B2:D2"/>
    <mergeCell ref="B3:F3"/>
    <mergeCell ref="B4:F4"/>
    <mergeCell ref="B5:C5"/>
    <mergeCell ref="D5:F5"/>
    <mergeCell ref="B6:C6"/>
    <mergeCell ref="D6:E6"/>
    <mergeCell ref="B7:C7"/>
    <mergeCell ref="D7:E7"/>
    <mergeCell ref="B10:F10"/>
    <mergeCell ref="C11:E11"/>
    <mergeCell ref="D12:F12"/>
    <mergeCell ref="C13:E13"/>
    <mergeCell ref="C14:E14"/>
    <mergeCell ref="C15:E15"/>
    <mergeCell ref="B17:F17"/>
    <mergeCell ref="B23:F23"/>
    <mergeCell ref="C24:D24"/>
    <mergeCell ref="E24:F24"/>
    <mergeCell ref="D25:F25"/>
    <mergeCell ref="C26:E26"/>
    <mergeCell ref="C27:E27"/>
    <mergeCell ref="C31:E31"/>
    <mergeCell ref="C32:E32"/>
    <mergeCell ref="C33:E33"/>
    <mergeCell ref="C34:E34"/>
    <mergeCell ref="C35:E35"/>
    <mergeCell ref="C39:D39"/>
    <mergeCell ref="C40:F40"/>
    <mergeCell ref="C41:D41"/>
    <mergeCell ref="C42:D42"/>
    <mergeCell ref="C43:D43"/>
    <mergeCell ref="C44:D44"/>
    <mergeCell ref="C45:D45"/>
    <mergeCell ref="C46:D46"/>
    <mergeCell ref="C47:D47"/>
    <mergeCell ref="C48:D48"/>
    <mergeCell ref="C49:D49"/>
    <mergeCell ref="C50:D50"/>
    <mergeCell ref="C51:D51"/>
    <mergeCell ref="C55:E55"/>
    <mergeCell ref="C56:E56"/>
    <mergeCell ref="C59:E59"/>
    <mergeCell ref="C60:E60"/>
    <mergeCell ref="C61:E61"/>
    <mergeCell ref="B64:F64"/>
    <mergeCell ref="B66:F66"/>
    <mergeCell ref="B75:F75"/>
  </mergeCells>
  <dataValidations count="16">
    <dataValidation allowBlank="true" error="De acordo com o art. 192 da CLT, estão previstos somente os percentuais de 40% (máximo), 20% (médio) ou 10% (mínimo), conforme for a exposição ao risco." errorTitle="Erro na inserção de dados." operator="equal" showDropDown="false" showErrorMessage="true" showInputMessage="true" sqref="F32" type="list">
      <formula1>"0,10,20,40"</formula1>
      <formula2>0</formula2>
    </dataValidation>
    <dataValidation allowBlank="true" error="Somente estão previstos 15 dias (intercalados), no caso de postos 12x36 horas, ou 22 dias (úteis), no caso de postos 44 horas." errorTitle="Erro na inserção de dados." operator="between" showDropDown="false" showErrorMessage="true" showInputMessage="true" sqref="F48" type="list">
      <formula1>"15,22"</formula1>
      <formula2>0</formula2>
    </dataValidation>
    <dataValidation allowBlank="true" error="Tem certeza que o valor do salário normativo é menor que o salário mínimo vigente no país?" errorTitle="Atentar para o valor do salário." operator="greaterThanOrEqual" showDropDown="false" showErrorMessage="true" showInputMessage="true" sqref="F19:F21" type="decimal">
      <formula1>#ref!</formula1>
      <formula2>0</formula2>
    </dataValidation>
    <dataValidation allowBlank="false" operator="between" showDropDown="false" showErrorMessage="true" showInputMessage="true" sqref="D19:D21" type="list">
      <formula1>"SIM,NÃO"</formula1>
      <formula2>0</formula2>
    </dataValidation>
    <dataValidation allowBlank="true" error="Segundo estudos da Audin-MPU, a inclusão deste item não é usual nas planilhas de custos no âmbito do MPU. Verifique se realmente há necessidade de incluí-lo." errorTitle="Atenção para a inclusão do item." operator="equal" prompt="Segundo estudos da Audin-MPU, esse item não é usual nas planilhas do MPU. Verifique se realmente há necessidade de incluí-lo." promptTitle="Intervalo Intrajornada" showDropDown="false" showErrorMessage="true" showInputMessage="true" sqref="F60:F61" type="whole">
      <formula1>0</formula1>
      <formula2>0</formula2>
    </dataValidation>
    <dataValidation allowBlank="true" operator="between" showDropDown="false" showErrorMessage="true" showInputMessage="true" sqref="F13" type="list">
      <formula1>"AC,AL,AP,AM,BA,CE,DF,ES,GO,MA,MG,MS,MT,PA,PB,PR,PE,PI,RJ,RN,RO,RR,RS,SC,SP,SE,TO"</formula1>
      <formula2>0</formula2>
    </dataValidation>
    <dataValidation allowBlank="true" error="O percentual recomendado de custos indiretos, para serviços de limpeza e conservação, é de 4,73%, conforme estudos realizados pela Auditoria Interna do MPU." errorTitle="Erro na inserção de dados." operator="between" showDropDown="false" showErrorMessage="true" showInputMessage="true" sqref="D68:G68" type="none">
      <formula1>0</formula1>
      <formula2>4.73</formula2>
    </dataValidation>
    <dataValidation allowBlank="true" error="O percentual recomendado de lucro, para serviços de limpeza e conservação, é de 5,57%, conforme estudos realizados pela Auditoria Interna do MPU." errorTitle="Erro na inserção de dados." operator="between" showDropDown="false" showErrorMessage="true" showInputMessage="true" sqref="D69" type="none">
      <formula1>0</formula1>
      <formula2>5.57</formula2>
    </dataValidation>
    <dataValidation allowBlank="true" error="Tem certeza que o percentual do PIS é diferente de 0,65%, previsto no art. 31 da Lei nº 10.833/2003?" errorTitle="Atentar para o percentual." operator="equal" showDropDown="false" showErrorMessage="true" showInputMessage="true" sqref="D70" type="none">
      <formula1>0.65</formula1>
      <formula2>0</formula2>
    </dataValidation>
    <dataValidation allowBlank="true" error="Tem certeza que o percentual do Cofins é diferente de 3%, previsto no art. 31 da Lei nº 10.833/2003?" errorTitle="Atentar para o percentual." operator="equal" showDropDown="false" showErrorMessage="true" showInputMessage="true" sqref="D71" type="none">
      <formula1>3</formula1>
      <formula2>0</formula2>
    </dataValidation>
    <dataValidation allowBlank="true" error="O percentual de ISS deve estar entre 2 e 5%, conforme o inciso I do artigo 8º e o caput do art. 8º-A da Lei Complementar nº 116/2003." errorTitle="Erro na inserção de dados." operator="between" showDropDown="false" showErrorMessage="true" showInputMessage="true" sqref="D72" type="none">
      <formula1>2</formula1>
      <formula2>5</formula2>
    </dataValidation>
    <dataValidation allowBlank="true" error="O percentual recomendado de custos indiretos, para serviços de limpeza e conservação, é de 4,73%, conforme estudos realizados pela Auditoria Interna do MPU." errorTitle="Erro na inserção de dados." operator="between" showDropDown="false" showErrorMessage="false" showInputMessage="true" sqref="H68:I68" type="none">
      <formula1>0</formula1>
      <formula2>4.73</formula2>
    </dataValidation>
    <dataValidation allowBlank="true" error="O percentual recomendado de lucro, para serviços de limpeza e conservação, é de 5,57%, conforme estudos realizados pela Auditoria Interna do MPU." errorTitle="Erro na inserção de dados." operator="between" showDropDown="false" showErrorMessage="false" showInputMessage="true" sqref="E69:I69" type="none">
      <formula1>0</formula1>
      <formula2>5.57</formula2>
    </dataValidation>
    <dataValidation allowBlank="true" error="Tem certeza que o percentual do PIS é diferente de 0,65%, previsto no art. 31 da Lei nº 10.833/2003?" errorTitle="Atentar para o percentual." operator="equal" showDropDown="false" showErrorMessage="false" showInputMessage="true" sqref="E70:I70" type="none">
      <formula1>0.65</formula1>
      <formula2>0</formula2>
    </dataValidation>
    <dataValidation allowBlank="true" error="Tem certeza que o percentual do Cofins é diferente de 3%, previsto no art. 31 da Lei nº 10.833/2003?" errorTitle="Atentar para o percentual." operator="equal" showDropDown="false" showErrorMessage="false" showInputMessage="true" sqref="E71:I71" type="none">
      <formula1>3</formula1>
      <formula2>0</formula2>
    </dataValidation>
    <dataValidation allowBlank="true" error="O percentual de ISS deve estar entre 2 e 5%, conforme o inciso I do artigo 8º e o caput do art. 8º-A da Lei Complementar nº 116/2003." errorTitle="Erro na inserção de dados." operator="between" showDropDown="false" showErrorMessage="false" showInputMessage="true" sqref="E72:I72" type="none">
      <formula1>2</formula1>
      <formula2>5</formula2>
    </dataValidation>
  </dataValidations>
  <printOptions headings="false" gridLines="false" gridLinesSet="true" horizontalCentered="false" verticalCentered="false"/>
  <pageMargins left="0.170138888888889" right="0.170138888888889" top="0.459722222222222" bottom="0.329861111111111" header="0.511805555555555" footer="0.511805555555555"/>
  <pageSetup paperSize="9" scale="6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B1:N153"/>
  <sheetViews>
    <sheetView showFormulas="false" showGridLines="true" showRowColHeaders="true" showZeros="true" rightToLeft="false" tabSelected="false" showOutlineSymbols="true" defaultGridColor="true" view="normal" topLeftCell="A64"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61" width="18.85"/>
    <col collapsed="false" customWidth="true" hidden="false" outlineLevel="0" max="9" min="9" style="161" width="14.86"/>
    <col collapsed="false" customWidth="true" hidden="false" outlineLevel="0" max="10" min="10" style="161" width="12.71"/>
    <col collapsed="false" customWidth="true" hidden="false" outlineLevel="0" max="11" min="11" style="161" width="14.01"/>
    <col collapsed="false" customWidth="true" hidden="false" outlineLevel="0" max="12" min="12" style="162" width="13.7"/>
    <col collapsed="false" customWidth="true" hidden="false" outlineLevel="0" max="13" min="13" style="162" width="9.42"/>
    <col collapsed="false" customWidth="true" hidden="false" outlineLevel="0" max="14" min="14" style="162" width="12.86"/>
    <col collapsed="false" customWidth="true" hidden="false" outlineLevel="0" max="1025" min="15" style="1" width="9.13"/>
  </cols>
  <sheetData>
    <row r="1" s="1" customFormat="true" ht="20.25" hidden="false" customHeight="fals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false" outlineLevel="0" collapsed="false">
      <c r="B3" s="6" t="s">
        <v>312</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262</v>
      </c>
      <c r="D12" s="123"/>
      <c r="E12" s="123"/>
      <c r="F12" s="24" t="n">
        <f aca="false">IF(QTDE_DE_SERV=0,"",QTDE_DE_SERV)</f>
        <v>6</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'INSERÇÃO-DE-DADOS_MÃO DE OBRA'!C21</f>
        <v>Servente Unidades do interior</v>
      </c>
      <c r="E16" s="24"/>
      <c r="F16" s="24"/>
    </row>
    <row r="17" s="3" customFormat="true" ht="15" hidden="false" customHeight="true" outlineLevel="0" collapsed="false">
      <c r="B17" s="17" t="n">
        <v>4</v>
      </c>
      <c r="C17" s="10" t="s">
        <v>45</v>
      </c>
      <c r="D17" s="10"/>
      <c r="E17" s="10"/>
      <c r="F17" s="163"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SALARIO_NORMATIVO_SERV</f>
        <v>1032</v>
      </c>
    </row>
    <row r="22" s="1" customFormat="true" ht="16.5" hidden="false" customHeight="true" outlineLevel="0" collapsed="false">
      <c r="B22" s="19" t="s">
        <v>17</v>
      </c>
      <c r="C22" s="23" t="s">
        <v>246</v>
      </c>
      <c r="D22" s="23"/>
      <c r="E22" s="23"/>
      <c r="F22" s="133" t="n">
        <f aca="false">IF(ADIC_INSALUB_SERV="SIM",PERC_ADIC_INSALUB%*SAL_MINIMO,0)</f>
        <v>0</v>
      </c>
    </row>
    <row r="23" customFormat="false" ht="16.4" hidden="false" customHeight="false" outlineLevel="0" collapsed="false">
      <c r="B23" s="19" t="s">
        <v>19</v>
      </c>
      <c r="C23" s="65" t="str">
        <f aca="false">OUTROS_REMUNERACAO_1_DESCRICAO</f>
        <v>Gratificação de função (Apenas para encarregada)</v>
      </c>
      <c r="D23" s="65"/>
      <c r="E23" s="65"/>
      <c r="F23" s="132" t="n">
        <f aca="false">OUTROS_REMUNERACAO_1-'INSERÇÃO-DE-DADOS_MÃO DE OBRA'!F33</f>
        <v>0</v>
      </c>
    </row>
    <row r="24" customFormat="false" ht="15.75" hidden="false" customHeight="true" outlineLevel="0" collapsed="false">
      <c r="B24" s="19" t="s">
        <v>22</v>
      </c>
      <c r="C24" s="48" t="str">
        <f aca="false">OUTROS_REMUNERACAO_2_DESCRICAO</f>
        <v>Outras Remunerações 2 (Especificar)</v>
      </c>
      <c r="D24" s="48"/>
      <c r="E24" s="48"/>
      <c r="F24" s="133" t="n">
        <f aca="false">OUTROS_REMUNERACAO_2</f>
        <v>0</v>
      </c>
    </row>
    <row r="25" customFormat="false" ht="15.75" hidden="false" customHeight="true" outlineLevel="0" collapsed="false">
      <c r="B25" s="19" t="s">
        <v>25</v>
      </c>
      <c r="C25" s="65" t="str">
        <f aca="false">OUTROS_REMUNERACAO_3_DESCRICAO</f>
        <v>Outras Remunerações 3 (Especificar)</v>
      </c>
      <c r="D25" s="65"/>
      <c r="E25" s="65"/>
      <c r="F25" s="132" t="n">
        <f aca="false">OUTROS_REMUNERACAO_3</f>
        <v>0</v>
      </c>
    </row>
    <row r="26" customFormat="false" ht="15.75" hidden="false" customHeight="true" outlineLevel="0" collapsed="false">
      <c r="B26" s="46" t="s">
        <v>215</v>
      </c>
      <c r="C26" s="46"/>
      <c r="D26" s="46"/>
      <c r="E26" s="46"/>
      <c r="F26" s="134" t="n">
        <f aca="false">SUM(F21:F25)</f>
        <v>1032</v>
      </c>
      <c r="L26" s="161"/>
      <c r="M26" s="161"/>
    </row>
    <row r="27" customFormat="false" ht="16.5" hidden="false" customHeight="false" outlineLevel="0" collapsed="false">
      <c r="B27" s="44" t="s">
        <v>55</v>
      </c>
      <c r="E27" s="53"/>
      <c r="F27" s="53"/>
      <c r="L27" s="161"/>
      <c r="M27" s="161"/>
    </row>
    <row r="28" customFormat="false" ht="16.5" hidden="false" customHeight="false" outlineLevel="0" collapsed="false">
      <c r="B28" s="44" t="s">
        <v>196</v>
      </c>
      <c r="C28" s="59"/>
      <c r="D28" s="60"/>
      <c r="E28" s="61"/>
      <c r="F28" s="61"/>
      <c r="L28" s="161"/>
      <c r="M28" s="161"/>
      <c r="N28" s="164"/>
    </row>
    <row r="29" customFormat="false" ht="16.5" hidden="false" customHeight="false" outlineLevel="0" collapsed="false">
      <c r="B29" s="19" t="s">
        <v>197</v>
      </c>
      <c r="C29" s="64" t="s">
        <v>198</v>
      </c>
      <c r="D29" s="64"/>
      <c r="E29" s="47" t="s">
        <v>86</v>
      </c>
      <c r="F29" s="47" t="s">
        <v>98</v>
      </c>
      <c r="L29" s="161"/>
      <c r="M29" s="161"/>
      <c r="N29" s="164"/>
    </row>
    <row r="30" customFormat="false" ht="16.5" hidden="false" customHeight="true" outlineLevel="0" collapsed="false">
      <c r="B30" s="19" t="s">
        <v>14</v>
      </c>
      <c r="C30" s="71" t="s">
        <v>200</v>
      </c>
      <c r="D30" s="71"/>
      <c r="E30" s="104" t="n">
        <f aca="false">PERC_DEC_TERC</f>
        <v>8.33333333333333</v>
      </c>
      <c r="F30" s="100" t="n">
        <f aca="false">PERC_DEC_TERC%*MOD_1_REMUNERACAO_SERV</f>
        <v>86</v>
      </c>
      <c r="L30" s="161"/>
      <c r="M30" s="161"/>
      <c r="N30" s="164"/>
    </row>
    <row r="31" customFormat="false" ht="16.5" hidden="false" customHeight="true" outlineLevel="0" collapsed="false">
      <c r="B31" s="47" t="s">
        <v>17</v>
      </c>
      <c r="C31" s="23" t="s">
        <v>202</v>
      </c>
      <c r="D31" s="23"/>
      <c r="E31" s="106" t="n">
        <f aca="false">PERC_ADIC_FERIAS</f>
        <v>2.77777777777778</v>
      </c>
      <c r="F31" s="102" t="n">
        <f aca="false">PERC_ADIC_FERIAS%*MOD_1_REMUNERACAO_SERV</f>
        <v>28.6666666666667</v>
      </c>
      <c r="L31" s="161"/>
      <c r="M31" s="161"/>
      <c r="N31" s="164"/>
    </row>
    <row r="32" customFormat="false" ht="16.5" hidden="false" customHeight="false" outlineLevel="0" collapsed="false">
      <c r="B32" s="64" t="s">
        <v>215</v>
      </c>
      <c r="C32" s="64"/>
      <c r="D32" s="64"/>
      <c r="E32" s="64"/>
      <c r="F32" s="135" t="n">
        <f aca="false">SUM(F30:F31)</f>
        <v>114.666666666667</v>
      </c>
      <c r="L32" s="161"/>
      <c r="M32" s="161"/>
    </row>
    <row r="33" customFormat="false" ht="31.6" hidden="false" customHeight="true" outlineLevel="0" collapsed="false">
      <c r="B33" s="136" t="s">
        <v>204</v>
      </c>
      <c r="C33" s="136"/>
      <c r="D33" s="136"/>
      <c r="E33" s="136"/>
      <c r="F33" s="136"/>
      <c r="L33" s="161"/>
      <c r="M33" s="161"/>
    </row>
    <row r="34" customFormat="false" ht="31.6" hidden="false" customHeight="true" outlineLevel="0" collapsed="false">
      <c r="B34" s="19" t="s">
        <v>205</v>
      </c>
      <c r="C34" s="108" t="s">
        <v>206</v>
      </c>
      <c r="D34" s="108"/>
      <c r="E34" s="47" t="s">
        <v>86</v>
      </c>
      <c r="F34" s="47" t="s">
        <v>98</v>
      </c>
      <c r="L34" s="161"/>
      <c r="M34" s="161"/>
    </row>
    <row r="35" s="105" customFormat="true" ht="16.5" hidden="false" customHeight="true" outlineLevel="0" collapsed="false">
      <c r="B35" s="19" t="s">
        <v>14</v>
      </c>
      <c r="C35" s="71" t="s">
        <v>207</v>
      </c>
      <c r="D35" s="71"/>
      <c r="E35" s="104" t="n">
        <f aca="false">PERC_INSS</f>
        <v>20</v>
      </c>
      <c r="F35" s="100" t="n">
        <f aca="false">PERC_INSS%*(MOD_1_REMUNERACAO_SERV+SUBMOD_2_1_DEC_TERC_ADIC_FERIAS_SERV)</f>
        <v>229.333333333333</v>
      </c>
      <c r="H35" s="161"/>
      <c r="I35" s="161"/>
      <c r="J35" s="161"/>
      <c r="K35" s="161"/>
      <c r="L35" s="161"/>
      <c r="M35" s="161"/>
      <c r="N35" s="162"/>
    </row>
    <row r="36" s="52" customFormat="true" ht="16.5" hidden="false" customHeight="true" outlineLevel="0" collapsed="false">
      <c r="B36" s="47" t="s">
        <v>17</v>
      </c>
      <c r="C36" s="23" t="s">
        <v>208</v>
      </c>
      <c r="D36" s="23"/>
      <c r="E36" s="109" t="n">
        <f aca="false">PERC_SAL_EDUCACAO</f>
        <v>2.5</v>
      </c>
      <c r="F36" s="102" t="n">
        <f aca="false">PERC_SAL_EDUCACAO%*(MOD_1_REMUNERACAO_SERV+SUBMOD_2_1_DEC_TERC_ADIC_FERIAS_SERV)</f>
        <v>28.6666666666667</v>
      </c>
      <c r="H36" s="161"/>
      <c r="I36" s="161"/>
      <c r="J36" s="161"/>
      <c r="K36" s="161"/>
      <c r="L36" s="161"/>
      <c r="M36" s="161"/>
      <c r="N36" s="162"/>
    </row>
    <row r="37" s="52" customFormat="true" ht="16.5" hidden="false" customHeight="true" outlineLevel="0" collapsed="false">
      <c r="B37" s="47" t="s">
        <v>19</v>
      </c>
      <c r="C37" s="71" t="s">
        <v>209</v>
      </c>
      <c r="D37" s="71"/>
      <c r="E37" s="104" t="n">
        <f aca="false">PERC_RAT</f>
        <v>3</v>
      </c>
      <c r="F37" s="100" t="n">
        <f aca="false">PERC_RAT%*(MOD_1_REMUNERACAO_SERV+SUBMOD_2_1_DEC_TERC_ADIC_FERIAS_SERV)</f>
        <v>34.4</v>
      </c>
      <c r="H37" s="161"/>
      <c r="I37" s="161"/>
      <c r="J37" s="161"/>
      <c r="K37" s="161"/>
      <c r="L37" s="161"/>
      <c r="M37" s="161"/>
      <c r="N37" s="162"/>
    </row>
    <row r="38" s="52" customFormat="true" ht="16.5" hidden="false" customHeight="true" outlineLevel="0" collapsed="false">
      <c r="B38" s="47" t="s">
        <v>22</v>
      </c>
      <c r="C38" s="23" t="s">
        <v>210</v>
      </c>
      <c r="D38" s="23"/>
      <c r="E38" s="106" t="n">
        <f aca="false">PERC_SESC</f>
        <v>1.5</v>
      </c>
      <c r="F38" s="102" t="n">
        <f aca="false">PERC_SESC%*(MOD_1_REMUNERACAO_SERV+SUBMOD_2_1_DEC_TERC_ADIC_FERIAS_SERV)</f>
        <v>17.2</v>
      </c>
      <c r="H38" s="161"/>
      <c r="I38" s="161"/>
      <c r="J38" s="161"/>
      <c r="K38" s="161"/>
      <c r="L38" s="161"/>
      <c r="M38" s="161"/>
      <c r="N38" s="162"/>
    </row>
    <row r="39" customFormat="false" ht="16.5" hidden="false" customHeight="true" outlineLevel="0" collapsed="false">
      <c r="B39" s="47" t="s">
        <v>25</v>
      </c>
      <c r="C39" s="71" t="s">
        <v>211</v>
      </c>
      <c r="D39" s="71"/>
      <c r="E39" s="104" t="n">
        <f aca="false">PERC_SENAC</f>
        <v>1</v>
      </c>
      <c r="F39" s="100" t="n">
        <f aca="false">PERC_SENAC%*(MOD_1_REMUNERACAO_SERV+SUBMOD_2_1_DEC_TERC_ADIC_FERIAS_SERV)</f>
        <v>11.4666666666667</v>
      </c>
      <c r="L39" s="161"/>
      <c r="M39" s="161"/>
    </row>
    <row r="40" s="3" customFormat="true" ht="16.5" hidden="false" customHeight="true" outlineLevel="0" collapsed="false">
      <c r="B40" s="47" t="s">
        <v>80</v>
      </c>
      <c r="C40" s="23" t="s">
        <v>212</v>
      </c>
      <c r="D40" s="23"/>
      <c r="E40" s="109" t="n">
        <f aca="false">PERC_SEBRAE</f>
        <v>0.6</v>
      </c>
      <c r="F40" s="102" t="n">
        <f aca="false">PERC_SEBRAE%*(MOD_1_REMUNERACAO_SERV+SUBMOD_2_1_DEC_TERC_ADIC_FERIAS_SERV)</f>
        <v>6.88</v>
      </c>
      <c r="H40" s="162"/>
      <c r="I40" s="162"/>
      <c r="J40" s="162"/>
      <c r="K40" s="162"/>
      <c r="L40" s="162"/>
      <c r="M40" s="162"/>
      <c r="N40" s="162"/>
    </row>
    <row r="41" s="3" customFormat="true" ht="16.5" hidden="false" customHeight="true" outlineLevel="0" collapsed="false">
      <c r="B41" s="47" t="s">
        <v>170</v>
      </c>
      <c r="C41" s="71" t="s">
        <v>213</v>
      </c>
      <c r="D41" s="71"/>
      <c r="E41" s="104" t="n">
        <f aca="false">PERC_INCRA</f>
        <v>0.2</v>
      </c>
      <c r="F41" s="100" t="n">
        <f aca="false">PERC_INCRA%*(MOD_1_REMUNERACAO_SERV+SUBMOD_2_1_DEC_TERC_ADIC_FERIAS_SERV)</f>
        <v>2.29333333333333</v>
      </c>
      <c r="H41" s="162"/>
      <c r="I41" s="162"/>
      <c r="J41" s="162"/>
      <c r="K41" s="162"/>
      <c r="L41" s="162"/>
      <c r="M41" s="162"/>
      <c r="N41" s="162"/>
    </row>
    <row r="42" s="3" customFormat="true" ht="16.5" hidden="false" customHeight="true" outlineLevel="0" collapsed="false">
      <c r="B42" s="47" t="s">
        <v>172</v>
      </c>
      <c r="C42" s="23" t="s">
        <v>214</v>
      </c>
      <c r="D42" s="23"/>
      <c r="E42" s="109" t="n">
        <f aca="false">PERC_FGTS</f>
        <v>8</v>
      </c>
      <c r="F42" s="102" t="n">
        <f aca="false">PERC_FGTS%*(MOD_1_REMUNERACAO_SERV+SUBMOD_2_1_DEC_TERC_ADIC_FERIAS_SERV)</f>
        <v>91.7333333333333</v>
      </c>
      <c r="H42" s="162"/>
      <c r="I42" s="162"/>
      <c r="J42" s="162"/>
      <c r="K42" s="162"/>
      <c r="L42" s="162"/>
      <c r="M42" s="162"/>
      <c r="N42" s="162"/>
    </row>
    <row r="43" s="3" customFormat="true" ht="16.5" hidden="false" customHeight="false" outlineLevel="0" collapsed="false">
      <c r="B43" s="64" t="s">
        <v>215</v>
      </c>
      <c r="C43" s="64"/>
      <c r="D43" s="64"/>
      <c r="E43" s="64"/>
      <c r="F43" s="137" t="n">
        <f aca="false">SUM(F35:F42)</f>
        <v>421.973333333333</v>
      </c>
      <c r="H43" s="162"/>
      <c r="I43" s="162"/>
      <c r="J43" s="162"/>
      <c r="K43" s="162"/>
      <c r="L43" s="162"/>
      <c r="M43" s="162"/>
      <c r="N43" s="162"/>
    </row>
    <row r="44" s="13" customFormat="true" ht="16.5" hidden="false" customHeight="false" outlineLevel="0" collapsed="false">
      <c r="B44" s="44" t="s">
        <v>56</v>
      </c>
      <c r="H44" s="162"/>
      <c r="I44" s="162"/>
      <c r="J44" s="162"/>
      <c r="K44" s="162"/>
      <c r="L44" s="162"/>
      <c r="M44" s="162"/>
      <c r="N44" s="162"/>
    </row>
    <row r="45" s="13" customFormat="true" ht="16.5" hidden="false" customHeight="true" outlineLevel="0" collapsed="false">
      <c r="B45" s="19" t="s">
        <v>57</v>
      </c>
      <c r="C45" s="46" t="s">
        <v>58</v>
      </c>
      <c r="D45" s="46"/>
      <c r="E45" s="46"/>
      <c r="F45" s="47" t="s">
        <v>98</v>
      </c>
      <c r="H45" s="165"/>
      <c r="I45" s="165"/>
      <c r="J45" s="165"/>
      <c r="K45" s="165"/>
      <c r="L45" s="165"/>
      <c r="M45" s="165"/>
      <c r="N45" s="165"/>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IF(DIAS_TRABALHADOS_NO_MES=15,(TRANSPORTE_POR_DIA*DIAS_TRABALHADOS_NO_MES)-(PERC_DESC_TRANSP_REMUNERACAO%*(AL_1_A_SAL_BASE_SERV/2)),IF(DIAS_TRABALHADOS_NO_MES=22,('INSERÇÃO-DE-DADOS_MÃO DE OBRA'!F43*DIAS_TRABALHADOS_NO_MES)-(PERC_DESC_TRANSP_REMUNERACAO%*(AL_1_A_SAL_BASE_SERV))))</f>
        <v>96.48</v>
      </c>
      <c r="H46" s="165"/>
      <c r="I46" s="165"/>
      <c r="J46" s="165"/>
      <c r="K46" s="165"/>
      <c r="L46" s="165"/>
      <c r="M46" s="165"/>
      <c r="N46" s="165"/>
    </row>
    <row r="47" customFormat="false" ht="16.5" hidden="false" customHeight="true" outlineLevel="0" collapsed="false">
      <c r="B47" s="17" t="s">
        <v>17</v>
      </c>
      <c r="C47" s="23" t="s">
        <v>75</v>
      </c>
      <c r="D47" s="23"/>
      <c r="E47" s="23"/>
      <c r="F47" s="102" t="n">
        <f aca="false">ALIMENTACAO_POR_DIA*DIAS_TRABALHADOS_NO_MES</f>
        <v>220</v>
      </c>
      <c r="H47" s="165"/>
      <c r="I47" s="165"/>
      <c r="J47" s="165"/>
      <c r="K47" s="165"/>
      <c r="L47" s="165"/>
      <c r="M47" s="165"/>
      <c r="N47" s="165"/>
    </row>
    <row r="48" customFormat="false" ht="15.75" hidden="false" customHeight="true" outlineLevel="0" collapsed="false">
      <c r="B48" s="17" t="s">
        <v>19</v>
      </c>
      <c r="C48" s="65" t="str">
        <f aca="false">OUTROS_BENEFICIOS_1_DESCRICAO</f>
        <v>Seguro de vida em grupo</v>
      </c>
      <c r="D48" s="65"/>
      <c r="E48" s="65"/>
      <c r="F48" s="100" t="n">
        <f aca="false">OUTROS_BENEFICIOS_1</f>
        <v>6</v>
      </c>
      <c r="H48" s="165"/>
      <c r="I48" s="165"/>
      <c r="J48" s="165"/>
      <c r="K48" s="165"/>
      <c r="L48" s="165"/>
      <c r="M48" s="165"/>
      <c r="N48" s="165"/>
    </row>
    <row r="49" customFormat="false" ht="15.75" hidden="false" customHeight="true" outlineLevel="0" collapsed="false">
      <c r="B49" s="17" t="s">
        <v>22</v>
      </c>
      <c r="C49" s="48" t="str">
        <f aca="false">OUTROS_BENEFICIOS_2_DESCRICAO</f>
        <v>Assistência social familiar</v>
      </c>
      <c r="D49" s="48"/>
      <c r="E49" s="48"/>
      <c r="F49" s="102" t="n">
        <f aca="false">OUTROS_BENEFICIOS_2</f>
        <v>9.7</v>
      </c>
      <c r="L49" s="161"/>
      <c r="M49" s="161"/>
      <c r="N49" s="166"/>
    </row>
    <row r="50" customFormat="false" ht="16.5" hidden="false" customHeight="false" outlineLevel="0" collapsed="false">
      <c r="B50" s="17" t="s">
        <v>25</v>
      </c>
      <c r="C50" s="65" t="str">
        <f aca="false">OUTROS_BENEFICIOS_3_DESCRICAO</f>
        <v>Assistência e inclusão social</v>
      </c>
      <c r="D50" s="65"/>
      <c r="E50" s="65"/>
      <c r="F50" s="100" t="n">
        <f aca="false">OUTROS_BENEFICIOS_3</f>
        <v>4</v>
      </c>
      <c r="L50" s="161"/>
      <c r="M50" s="161"/>
      <c r="N50" s="166"/>
    </row>
    <row r="51" s="52" customFormat="true" ht="16.5" hidden="false" customHeight="true" outlineLevel="0" collapsed="false">
      <c r="B51" s="46" t="s">
        <v>215</v>
      </c>
      <c r="C51" s="46"/>
      <c r="D51" s="46"/>
      <c r="E51" s="46"/>
      <c r="F51" s="134" t="n">
        <f aca="false">SUM(F46:F50)</f>
        <v>336.18</v>
      </c>
      <c r="H51" s="161"/>
      <c r="I51" s="161"/>
      <c r="J51" s="161"/>
      <c r="K51" s="161"/>
      <c r="L51" s="161"/>
      <c r="M51" s="161"/>
      <c r="N51" s="166"/>
    </row>
    <row r="52" s="52" customFormat="true" ht="16.5" hidden="false" customHeight="false" outlineLevel="0" collapsed="false">
      <c r="B52" s="44" t="s">
        <v>176</v>
      </c>
      <c r="C52" s="59"/>
      <c r="D52" s="60"/>
      <c r="E52" s="61"/>
      <c r="F52" s="61"/>
      <c r="H52" s="161"/>
      <c r="I52" s="161"/>
      <c r="J52" s="161"/>
      <c r="K52" s="161"/>
      <c r="L52" s="161"/>
      <c r="M52" s="161"/>
      <c r="N52" s="162"/>
    </row>
    <row r="53" s="52" customFormat="true" ht="16.5" hidden="false" customHeight="false" outlineLevel="0" collapsed="false">
      <c r="B53" s="19" t="n">
        <v>3</v>
      </c>
      <c r="C53" s="64" t="s">
        <v>177</v>
      </c>
      <c r="D53" s="64"/>
      <c r="E53" s="47" t="s">
        <v>86</v>
      </c>
      <c r="F53" s="47" t="s">
        <v>98</v>
      </c>
      <c r="H53" s="161"/>
      <c r="I53" s="161"/>
      <c r="J53" s="161"/>
      <c r="K53" s="161"/>
      <c r="L53" s="161"/>
      <c r="M53" s="161"/>
      <c r="N53" s="162"/>
    </row>
    <row r="54" s="52" customFormat="true" ht="16.5" hidden="false" customHeight="false" outlineLevel="0" collapsed="false">
      <c r="B54" s="19" t="s">
        <v>14</v>
      </c>
      <c r="C54" s="111" t="s">
        <v>216</v>
      </c>
      <c r="D54" s="111"/>
      <c r="E54" s="104" t="n">
        <f aca="false">PERC_AVISO_PREVIO_IND</f>
        <v>0.26011</v>
      </c>
      <c r="F54" s="100" t="n">
        <f aca="false">PERC_AVISO_PREVIO_IND%*(MOD_1_REMUNERACAO_SERV+SUBMOD_2_1_DEC_TERC_ADIC_FERIAS_SERV+AL_2_2_FGTS_SERV+SUBMOD_2_3_BENEFICIOS_SERV)</f>
        <v>4.095640038</v>
      </c>
      <c r="H54" s="161"/>
      <c r="I54" s="161"/>
      <c r="J54" s="161"/>
      <c r="K54" s="161"/>
      <c r="L54" s="161"/>
      <c r="M54" s="161"/>
      <c r="N54" s="162"/>
    </row>
    <row r="55" s="52" customFormat="true" ht="15" hidden="false" customHeight="true" outlineLevel="0" collapsed="false">
      <c r="B55" s="47" t="s">
        <v>17</v>
      </c>
      <c r="C55" s="112" t="s">
        <v>218</v>
      </c>
      <c r="D55" s="112"/>
      <c r="E55" s="109" t="n">
        <f aca="false">PERC_FGTS_AVISO_PREV_IND</f>
        <v>0.0208088</v>
      </c>
      <c r="F55" s="102" t="n">
        <f aca="false">PERC_FGTS_AVISO_PREV_IND%*(MOD_1_REMUNERACAO_SERV+SUBMOD_2_1_DEC_TERC_ADIC_FERIAS_SERV)</f>
        <v>0.238607573333333</v>
      </c>
      <c r="H55" s="161"/>
      <c r="I55" s="161"/>
      <c r="J55" s="161"/>
      <c r="K55" s="161"/>
      <c r="L55" s="161"/>
      <c r="M55" s="161"/>
      <c r="N55" s="166"/>
    </row>
    <row r="56" s="52" customFormat="true" ht="31.5" hidden="false" customHeight="true" outlineLevel="0" collapsed="false">
      <c r="B56" s="47" t="s">
        <v>19</v>
      </c>
      <c r="C56" s="111" t="s">
        <v>220</v>
      </c>
      <c r="D56" s="111"/>
      <c r="E56" s="104" t="n">
        <f aca="false">PERC_MULTA_FGTS_AV_PREV_IND</f>
        <v>0.0104044</v>
      </c>
      <c r="F56" s="100" t="n">
        <f aca="false">PERC_MULTA_FGTS_AV_PREV_IND%*(MOD_1_REMUNERACAO_SERV+SUBMOD_2_1_DEC_TERC_ADIC_FERIAS_SERV)</f>
        <v>0.119303786666667</v>
      </c>
      <c r="H56" s="161"/>
      <c r="I56" s="161"/>
      <c r="J56" s="161"/>
      <c r="K56" s="161"/>
      <c r="L56" s="161"/>
      <c r="M56" s="161"/>
      <c r="N56" s="162"/>
    </row>
    <row r="57" s="52" customFormat="true" ht="15" hidden="false" customHeight="true" outlineLevel="0" collapsed="false">
      <c r="B57" s="47" t="s">
        <v>22</v>
      </c>
      <c r="C57" s="112" t="s">
        <v>222</v>
      </c>
      <c r="D57" s="112"/>
      <c r="E57" s="109" t="n">
        <f aca="false">PERC_AVISO_PREVIO_TRAB</f>
        <v>1.03286322222222</v>
      </c>
      <c r="F57" s="102" t="n">
        <f aca="false">PERC_AVISO_PREVIO_TRAB%*(MOD_1_REMUNERACAO_SERV+SUBMOD_2_1_DEC_TERC_ADIC_FERIAS_SERV+SUBMOD_2_2_GPS_FGTS_SERV+SUBMOD_2_3_BENEFICIOS_SERV)</f>
        <v>19.6741852295333</v>
      </c>
      <c r="H57" s="161"/>
      <c r="I57" s="161"/>
      <c r="J57" s="161"/>
      <c r="K57" s="161"/>
      <c r="L57" s="161"/>
      <c r="M57" s="161"/>
      <c r="N57" s="162"/>
    </row>
    <row r="58" s="52" customFormat="true" ht="33.75" hidden="false" customHeight="true" outlineLevel="0" collapsed="false">
      <c r="B58" s="47" t="s">
        <v>25</v>
      </c>
      <c r="C58" s="111" t="s">
        <v>224</v>
      </c>
      <c r="D58" s="111"/>
      <c r="E58" s="104" t="n">
        <f aca="false">PERC_GPS_FGTS_AVISO_PREVIO_TRAB</f>
        <v>0.380093665777778</v>
      </c>
      <c r="F58" s="100" t="n">
        <f aca="false">PERC_GPS_FGTS_AVISO_PREVIO_TRAB%*(MOD_1_REMUNERACAO_SERV+SUBMOD_2_1_DEC_TERC_ADIC_FERIAS_SERV)</f>
        <v>4.35840736758519</v>
      </c>
      <c r="H58" s="161"/>
      <c r="I58" s="161"/>
      <c r="J58" s="161"/>
      <c r="K58" s="161"/>
      <c r="L58" s="161"/>
      <c r="M58" s="161"/>
      <c r="N58" s="167"/>
    </row>
    <row r="59" s="52" customFormat="true" ht="32.25" hidden="false" customHeight="true" outlineLevel="0" collapsed="false">
      <c r="B59" s="47" t="s">
        <v>80</v>
      </c>
      <c r="C59" s="112" t="s">
        <v>226</v>
      </c>
      <c r="D59" s="112"/>
      <c r="E59" s="109" t="n">
        <f aca="false">PERC_MULTA_FGTS_AV_PREV_TRAB</f>
        <v>0.05</v>
      </c>
      <c r="F59" s="102" t="n">
        <f aca="false">PERC_MULTA_FGTS_AV_PREV_TRAB%*(MOD_1_REMUNERACAO_SERV+SUBMOD_2_1_DEC_TERC_ADIC_FERIAS_SERV)</f>
        <v>0.573333333333333</v>
      </c>
      <c r="H59" s="161"/>
      <c r="I59" s="161"/>
      <c r="J59" s="161"/>
      <c r="K59" s="161"/>
      <c r="L59" s="161"/>
      <c r="M59" s="161"/>
      <c r="N59" s="162"/>
    </row>
    <row r="60" s="3" customFormat="true" ht="16.5" hidden="false" customHeight="false" outlineLevel="0" collapsed="false">
      <c r="B60" s="64" t="s">
        <v>215</v>
      </c>
      <c r="C60" s="64"/>
      <c r="D60" s="64"/>
      <c r="E60" s="64"/>
      <c r="F60" s="135" t="n">
        <f aca="false">SUM(F54:F59)</f>
        <v>29.0594773284518</v>
      </c>
      <c r="H60" s="161"/>
      <c r="I60" s="161"/>
      <c r="J60" s="161"/>
      <c r="K60" s="161"/>
      <c r="L60" s="161"/>
      <c r="M60" s="161"/>
      <c r="N60" s="162"/>
    </row>
    <row r="61" s="3" customFormat="true" ht="16.5" hidden="false" customHeight="false" outlineLevel="0" collapsed="false">
      <c r="B61" s="44" t="s">
        <v>82</v>
      </c>
      <c r="C61" s="59"/>
      <c r="D61" s="60"/>
      <c r="E61" s="1"/>
      <c r="F61" s="1"/>
      <c r="H61" s="161"/>
      <c r="I61" s="161"/>
      <c r="J61" s="161"/>
      <c r="K61" s="161"/>
      <c r="L61" s="161"/>
      <c r="M61" s="161"/>
      <c r="N61" s="162"/>
    </row>
    <row r="62" s="3" customFormat="true" ht="16.5" hidden="false" customHeight="false" outlineLevel="0" collapsed="false">
      <c r="B62" s="44" t="s">
        <v>83</v>
      </c>
      <c r="C62" s="59"/>
      <c r="D62" s="60"/>
      <c r="E62" s="61"/>
      <c r="F62" s="61"/>
      <c r="H62" s="168"/>
      <c r="I62" s="168"/>
      <c r="J62" s="168"/>
      <c r="K62" s="168"/>
      <c r="L62" s="161"/>
      <c r="M62" s="161"/>
      <c r="N62" s="162"/>
    </row>
    <row r="63" s="3" customFormat="true" ht="16.5" hidden="false" customHeight="true" outlineLevel="0" collapsed="false">
      <c r="B63" s="19" t="s">
        <v>84</v>
      </c>
      <c r="C63" s="46" t="s">
        <v>85</v>
      </c>
      <c r="D63" s="46"/>
      <c r="E63" s="47" t="s">
        <v>86</v>
      </c>
      <c r="F63" s="47" t="s">
        <v>98</v>
      </c>
      <c r="H63" s="168"/>
      <c r="I63" s="168"/>
      <c r="J63" s="168"/>
      <c r="K63" s="168"/>
      <c r="L63" s="161"/>
      <c r="M63" s="161"/>
      <c r="N63" s="162"/>
    </row>
    <row r="64" customFormat="false" ht="16.5" hidden="false" customHeight="true" outlineLevel="0" collapsed="false">
      <c r="B64" s="47" t="s">
        <v>14</v>
      </c>
      <c r="C64" s="71" t="s">
        <v>228</v>
      </c>
      <c r="D64" s="71"/>
      <c r="E64" s="104" t="n">
        <f aca="false">PERC_SUBSTITUTO_FERIAS</f>
        <v>8.33333333333333</v>
      </c>
      <c r="F64" s="100" t="n">
        <f aca="false">PERC_SUBSTITUTO_FERIAS%*(MOD_1_REMUNERACAO_SERV+MOD_2_ENCARGOS_BENEFICIOS_SERV+MOD_3_PROVISAO_RESCISAO_SERV)</f>
        <v>161.156623110704</v>
      </c>
      <c r="H64" s="168"/>
      <c r="I64" s="168"/>
      <c r="J64" s="168"/>
      <c r="K64" s="168"/>
      <c r="L64" s="161"/>
      <c r="M64" s="161"/>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PERC_SUBSTITUTO_AUSENCIAS_LEGAIS%*(MOD_1_REMUNERACAO_SERV+MOD_2_ENCARGOS_BENEFICIOS_SERV+MOD_3_PROVISAO_RESCISAO_SERV)</f>
        <v>42.9750994961878</v>
      </c>
      <c r="H65" s="168"/>
      <c r="I65" s="168"/>
      <c r="J65" s="168"/>
      <c r="K65" s="168"/>
      <c r="L65" s="161"/>
      <c r="M65" s="161"/>
      <c r="N65" s="162"/>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PERC_SUBSTITUTO_LICENCA_PATERNIDADE%*(MOD_1_REMUNERACAO_SERV+MOD_2_ENCARGOS_BENEFICIOS_SERV+MOD_3_PROVISAO_RESCISAO_SERV)</f>
        <v>0.689883569722252</v>
      </c>
      <c r="H66" s="168"/>
      <c r="I66" s="168"/>
      <c r="J66" s="168"/>
      <c r="K66" s="168"/>
      <c r="L66" s="161"/>
      <c r="M66" s="161"/>
      <c r="N66" s="168"/>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PERC_SUBSTITUTO_ACID_TRAB%*(MOD_1_REMUNERACAO_SERV+MOD_2_ENCARGOS_BENEFICIOS_SERV+MOD_3_PROVISAO_RESCISAO_SERV)</f>
        <v>0.358352178486799</v>
      </c>
      <c r="H67" s="168"/>
      <c r="I67" s="168"/>
      <c r="J67" s="168"/>
      <c r="K67" s="168"/>
      <c r="L67" s="161"/>
      <c r="M67" s="161"/>
      <c r="N67" s="168"/>
    </row>
    <row r="68" s="3" customFormat="true" ht="15.95" hidden="false" customHeight="true" outlineLevel="0" collapsed="false">
      <c r="B68" s="47" t="s">
        <v>25</v>
      </c>
      <c r="C68" s="71" t="s">
        <v>236</v>
      </c>
      <c r="D68" s="71"/>
      <c r="E68" s="104" t="n">
        <f aca="false">PERC_SUBSTITUTO_AFAST_MATERN</f>
        <v>0.143129184</v>
      </c>
      <c r="F68" s="100" t="n">
        <f aca="false">PERC_SUBSTITUTO_AFAST_MATERN%*(MOD_1_REMUNERACAO_SERV+MOD_2_ENCARGOS_BENEFICIOS_SERV+MOD_3_PROVISAO_RESCISAO_SERV)</f>
        <v>2.76794591544368</v>
      </c>
      <c r="H68" s="168"/>
      <c r="I68" s="168"/>
      <c r="J68" s="168"/>
      <c r="K68" s="168"/>
      <c r="L68" s="161"/>
      <c r="M68" s="161"/>
      <c r="N68" s="168"/>
    </row>
    <row r="69" s="3" customFormat="true" ht="15.95" hidden="false" customHeight="tru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PERC_SUBSTITUTO_OUTRAS_AUSENCIAS%*(MOD_1_REMUNERACAO_SERV+MOD_2_ENCARGOS_BENEFICIOS_SERV+MOD_3_PROVISAO_RESCISAO_SERV)</f>
        <v>0</v>
      </c>
      <c r="H69" s="168"/>
      <c r="I69" s="168"/>
      <c r="J69" s="168"/>
      <c r="K69" s="168"/>
      <c r="L69" s="161"/>
      <c r="M69" s="161"/>
      <c r="N69" s="168"/>
    </row>
    <row r="70" s="3" customFormat="true" ht="15.95" hidden="false" customHeight="true" outlineLevel="0" collapsed="false">
      <c r="B70" s="64" t="s">
        <v>215</v>
      </c>
      <c r="C70" s="64"/>
      <c r="D70" s="64"/>
      <c r="E70" s="64"/>
      <c r="F70" s="135" t="n">
        <f aca="false">SUM(F64:F69)</f>
        <v>207.947904270545</v>
      </c>
      <c r="H70" s="168"/>
      <c r="I70" s="168"/>
      <c r="J70" s="168"/>
      <c r="K70" s="168"/>
      <c r="L70" s="161"/>
      <c r="M70" s="161"/>
      <c r="N70" s="168"/>
    </row>
    <row r="71" s="3" customFormat="true" ht="16.5" hidden="false" customHeight="false" outlineLevel="0" collapsed="false">
      <c r="B71" s="44" t="s">
        <v>88</v>
      </c>
      <c r="C71" s="59"/>
      <c r="D71" s="60"/>
      <c r="E71" s="61"/>
      <c r="F71" s="61"/>
      <c r="H71" s="168"/>
      <c r="I71" s="168"/>
      <c r="J71" s="168"/>
      <c r="K71" s="168"/>
      <c r="L71" s="161"/>
      <c r="M71" s="161"/>
      <c r="N71" s="168"/>
    </row>
    <row r="72" s="3" customFormat="true" ht="16.5" hidden="false" customHeight="false" outlineLevel="0" collapsed="false">
      <c r="B72" s="19" t="s">
        <v>89</v>
      </c>
      <c r="C72" s="64" t="s">
        <v>90</v>
      </c>
      <c r="D72" s="64"/>
      <c r="E72" s="64"/>
      <c r="F72" s="47" t="s">
        <v>98</v>
      </c>
      <c r="H72" s="168"/>
      <c r="I72" s="168"/>
      <c r="J72" s="168"/>
      <c r="K72" s="168"/>
      <c r="L72" s="161"/>
      <c r="M72" s="161"/>
      <c r="N72" s="168"/>
    </row>
    <row r="73" s="3" customFormat="true" ht="16.5" hidden="false" customHeight="true" outlineLevel="0" collapsed="false">
      <c r="B73" s="19" t="s">
        <v>14</v>
      </c>
      <c r="C73" s="71" t="s">
        <v>247</v>
      </c>
      <c r="D73" s="71"/>
      <c r="E73" s="71"/>
      <c r="F73" s="132" t="n">
        <f aca="false">IF(DIAS_TRABALHADOS_NO_MES=15,((MOD_1_REMUNERACAO_SERV+MOD_2_ENCARGOS_BENEFICIOS_SERV+MOD_3_PROVISAO_RESCISAO_SERV)/DIVISOR_DE_HORAS)*((TEMPO_INTERVALO_REFEICAO/HORA_NORMAL)+PERC_HORA_EXTRA%)*DIAS_TRABALHADOS_NO_MES,0)</f>
        <v>0</v>
      </c>
      <c r="H73" s="168"/>
      <c r="I73" s="168"/>
      <c r="J73" s="168"/>
      <c r="K73" s="168"/>
      <c r="L73" s="161"/>
      <c r="M73" s="161"/>
      <c r="N73" s="168"/>
    </row>
    <row r="74" s="3" customFormat="true" ht="16.5" hidden="false" customHeight="false" outlineLevel="0" collapsed="false">
      <c r="B74" s="64" t="s">
        <v>215</v>
      </c>
      <c r="C74" s="64"/>
      <c r="D74" s="64"/>
      <c r="E74" s="64"/>
      <c r="F74" s="135" t="n">
        <f aca="false">SUM(F73)</f>
        <v>0</v>
      </c>
      <c r="H74" s="168"/>
      <c r="I74" s="168"/>
      <c r="J74" s="168"/>
      <c r="K74" s="168"/>
      <c r="L74" s="161"/>
      <c r="M74" s="161"/>
      <c r="N74" s="168"/>
    </row>
    <row r="75" s="3" customFormat="true" ht="16.5" hidden="false" customHeight="false" outlineLevel="0" collapsed="false">
      <c r="B75" s="44" t="s">
        <v>95</v>
      </c>
      <c r="C75" s="59"/>
      <c r="D75" s="59"/>
      <c r="E75" s="61"/>
      <c r="F75" s="61"/>
      <c r="H75" s="168"/>
      <c r="I75" s="168"/>
      <c r="J75" s="168"/>
      <c r="K75" s="168"/>
      <c r="L75" s="161"/>
      <c r="M75" s="161"/>
      <c r="N75" s="168"/>
    </row>
    <row r="76" s="3" customFormat="true" ht="16.5" hidden="false" customHeight="true" outlineLevel="0" collapsed="false">
      <c r="B76" s="66" t="n">
        <v>5</v>
      </c>
      <c r="C76" s="140" t="s">
        <v>97</v>
      </c>
      <c r="D76" s="140"/>
      <c r="E76" s="140"/>
      <c r="F76" s="141" t="s">
        <v>98</v>
      </c>
      <c r="H76" s="161"/>
      <c r="I76" s="161"/>
      <c r="J76" s="161"/>
      <c r="K76" s="161"/>
      <c r="L76" s="161"/>
      <c r="M76" s="161"/>
      <c r="N76" s="168"/>
    </row>
    <row r="77" s="3" customFormat="true" ht="16.5" hidden="false" customHeight="true" outlineLevel="0" collapsed="false">
      <c r="B77" s="142" t="s">
        <v>14</v>
      </c>
      <c r="C77" s="143" t="s">
        <v>248</v>
      </c>
      <c r="D77" s="143"/>
      <c r="E77" s="143"/>
      <c r="F77" s="144" t="n">
        <f aca="false">UNIFORMES!I14</f>
        <v>33.2241666666667</v>
      </c>
      <c r="H77" s="161"/>
      <c r="I77" s="161"/>
      <c r="J77" s="161"/>
      <c r="K77" s="161"/>
      <c r="L77" s="161"/>
      <c r="M77" s="161"/>
      <c r="N77" s="168"/>
    </row>
    <row r="78" customFormat="false" ht="16.5" hidden="false" customHeight="true" outlineLevel="0" collapsed="false">
      <c r="B78" s="142" t="s">
        <v>17</v>
      </c>
      <c r="C78" s="145" t="s">
        <v>249</v>
      </c>
      <c r="D78" s="145"/>
      <c r="E78" s="145"/>
      <c r="F78" s="146" t="n">
        <f aca="false">'MATERIAIS E EQUIPAMENTOS'!M43+'MATERIAIS E EQUIPAMENTOS'!M72</f>
        <v>458.295902777778</v>
      </c>
      <c r="L78" s="161"/>
      <c r="M78" s="161"/>
      <c r="N78" s="168"/>
    </row>
    <row r="79" customFormat="false" ht="16.5" hidden="false" customHeight="true" outlineLevel="0" collapsed="false">
      <c r="B79" s="142" t="s">
        <v>19</v>
      </c>
      <c r="C79" s="143" t="s">
        <v>250</v>
      </c>
      <c r="D79" s="143"/>
      <c r="E79" s="143"/>
      <c r="F79" s="144" t="n">
        <f aca="false">'MATERIAIS E EQUIPAMENTOS'!M94</f>
        <v>22.6162888888889</v>
      </c>
      <c r="L79" s="161"/>
      <c r="M79" s="161"/>
      <c r="N79" s="168"/>
    </row>
    <row r="80" customFormat="false" ht="15.75" hidden="false" customHeight="true" outlineLevel="0" collapsed="false">
      <c r="B80" s="142" t="s">
        <v>22</v>
      </c>
      <c r="C80" s="147" t="str">
        <f aca="false">ENCARREGADO!C80</f>
        <v>Outros Insumos</v>
      </c>
      <c r="D80" s="147"/>
      <c r="E80" s="147"/>
      <c r="F80" s="146"/>
      <c r="L80" s="161"/>
      <c r="M80" s="161"/>
      <c r="N80" s="161"/>
    </row>
    <row r="81" customFormat="false" ht="16.5" hidden="false" customHeight="true" outlineLevel="0" collapsed="false">
      <c r="B81" s="140" t="s">
        <v>215</v>
      </c>
      <c r="C81" s="140"/>
      <c r="D81" s="140"/>
      <c r="E81" s="140"/>
      <c r="F81" s="148" t="n">
        <f aca="false">SUM(F77:F80)</f>
        <v>514.136358333333</v>
      </c>
      <c r="L81" s="161"/>
      <c r="M81" s="161"/>
    </row>
    <row r="82" customFormat="false" ht="16.5" hidden="false" customHeight="true" outlineLevel="0" collapsed="false">
      <c r="B82" s="69" t="s">
        <v>99</v>
      </c>
      <c r="C82" s="69"/>
      <c r="D82" s="69"/>
      <c r="E82" s="69"/>
      <c r="F82" s="69"/>
      <c r="L82" s="161"/>
      <c r="M82" s="161"/>
    </row>
    <row r="83" customFormat="false" ht="16.5" hidden="false" customHeight="false" outlineLevel="0" collapsed="false">
      <c r="B83" s="19" t="n">
        <v>6</v>
      </c>
      <c r="C83" s="64" t="s">
        <v>252</v>
      </c>
      <c r="D83" s="64"/>
      <c r="E83" s="47" t="s">
        <v>86</v>
      </c>
      <c r="F83" s="47" t="s">
        <v>98</v>
      </c>
      <c r="L83" s="161"/>
      <c r="M83" s="161"/>
    </row>
    <row r="84" customFormat="false" ht="16.5" hidden="false" customHeight="true" outlineLevel="0" collapsed="false">
      <c r="B84" s="19" t="s">
        <v>14</v>
      </c>
      <c r="C84" s="71" t="s">
        <v>107</v>
      </c>
      <c r="D84" s="71"/>
      <c r="E84" s="149" t="n">
        <f aca="false">'INSERÇÃO-DE-DADOS_MÃO DE OBRA'!F68</f>
        <v>4.73</v>
      </c>
      <c r="F84" s="100" t="n">
        <f aca="false">E84%*(MOD_1_REMUNERACAO_SERV+MOD_2_ENCARGOS_BENEFICIOS_SERV+MOD_3_PROVISAO_RESCISAO_SERV+MOD_4_CUSTO_REPOSICAO_SERV+MOD_5_INSUMOS_SERV)</f>
        <v>125.627084898799</v>
      </c>
      <c r="L84" s="161"/>
      <c r="M84" s="161"/>
    </row>
    <row r="85" customFormat="false" ht="16.5" hidden="false" customHeight="true" outlineLevel="0" collapsed="false">
      <c r="B85" s="47" t="s">
        <v>17</v>
      </c>
      <c r="C85" s="23" t="s">
        <v>108</v>
      </c>
      <c r="D85" s="23"/>
      <c r="E85" s="150" t="n">
        <f aca="false">'INSERÇÃO-DE-DADOS_MÃO DE OBRA'!F69</f>
        <v>5.57</v>
      </c>
      <c r="F85" s="102" t="n">
        <f aca="false">E85%*(MOD_1_REMUNERACAO_SERV+MOD_2_ENCARGOS_BENEFICIOS_SERV+MOD_3_PROVISAO_RESCISAO_SERV+MOD_4_CUSTO_REPOSICAO_SERV+MOD_5_INSUMOS_SERV+AL_6_A_CUSTOS_INDIRETOS_SERV)</f>
        <v>154.934608943094</v>
      </c>
      <c r="L85" s="161"/>
      <c r="M85" s="161"/>
    </row>
    <row r="86" customFormat="false" ht="15" hidden="false" customHeight="true" outlineLevel="0" collapsed="false">
      <c r="B86" s="47" t="s">
        <v>19</v>
      </c>
      <c r="C86" s="71" t="s">
        <v>253</v>
      </c>
      <c r="D86" s="71"/>
      <c r="E86" s="149" t="n">
        <f aca="false">SUM(E87:E89)</f>
        <v>8.65</v>
      </c>
      <c r="F86" s="100" t="n">
        <f aca="false">SUM(F87:F89)</f>
        <v>278.061795316333</v>
      </c>
      <c r="L86" s="161"/>
      <c r="M86" s="161"/>
    </row>
    <row r="87" customFormat="false" ht="16.5" hidden="false" customHeight="true" outlineLevel="0" collapsed="false">
      <c r="B87" s="73" t="s">
        <v>109</v>
      </c>
      <c r="C87" s="151" t="s">
        <v>110</v>
      </c>
      <c r="D87" s="151"/>
      <c r="E87" s="152" t="n">
        <f aca="false">'INSERÇÃO-DE-DADOS_MÃO DE OBRA'!F70</f>
        <v>0.65</v>
      </c>
      <c r="F87" s="153" t="n">
        <f aca="false">((MOD_1_REMUNERACAO_SERV+MOD_2_ENCARGOS_BENEFICIOS_SERV+MOD_3_PROVISAO_RESCISAO_SERV+MOD_4_CUSTO_REPOSICAO_SERV+MOD_5_INSUMOS_SERV+AL_6_A_CUSTOS_INDIRETOS_SERV+AL_6_B_LUCRO_SERV)*E87%)/(1-PERC_TRIBUTOS%)</f>
        <v>20.8948169890886</v>
      </c>
      <c r="L87" s="161"/>
      <c r="M87" s="161"/>
    </row>
    <row r="88" customFormat="false" ht="16.5" hidden="false" customHeight="true" outlineLevel="0" collapsed="false">
      <c r="B88" s="73" t="s">
        <v>111</v>
      </c>
      <c r="C88" s="154" t="s">
        <v>112</v>
      </c>
      <c r="D88" s="154"/>
      <c r="E88" s="155" t="n">
        <f aca="false">'INSERÇÃO-DE-DADOS_MÃO DE OBRA'!F71</f>
        <v>3</v>
      </c>
      <c r="F88" s="156" t="n">
        <f aca="false">((MOD_1_REMUNERACAO_SERV+MOD_2_ENCARGOS_BENEFICIOS_SERV+MOD_3_PROVISAO_RESCISAO_SERV+MOD_4_CUSTO_REPOSICAO_SERV+MOD_5_INSUMOS_SERV+AL_6_A_CUSTOS_INDIRETOS_SERV+AL_6_B_LUCRO_SERV)*E88%)/(1-PERC_TRIBUTOS%)</f>
        <v>96.4376168727167</v>
      </c>
      <c r="L88" s="161"/>
      <c r="M88" s="161"/>
    </row>
    <row r="89" customFormat="false" ht="15.75" hidden="false" customHeight="true" outlineLevel="0" collapsed="false">
      <c r="B89" s="73" t="s">
        <v>113</v>
      </c>
      <c r="C89" s="151" t="s">
        <v>114</v>
      </c>
      <c r="D89" s="151"/>
      <c r="E89" s="152" t="n">
        <f aca="false">'INSERÇÃO-DE-DADOS_MÃO DE OBRA'!F72</f>
        <v>5</v>
      </c>
      <c r="F89" s="153" t="n">
        <f aca="false">((MOD_1_REMUNERACAO_SERV+MOD_2_ENCARGOS_BENEFICIOS_SERV+MOD_3_PROVISAO_RESCISAO_SERV+MOD_4_CUSTO_REPOSICAO_SERV+MOD_5_INSUMOS_SERV+AL_6_A_CUSTOS_INDIRETOS_SERV+AL_6_B_LUCRO_SERV)*E89%)/(1-PERC_TRIBUTOS%)</f>
        <v>160.729361454528</v>
      </c>
      <c r="L89" s="161"/>
      <c r="M89" s="161"/>
    </row>
    <row r="90" customFormat="false" ht="16.5" hidden="false" customHeight="false" outlineLevel="0" collapsed="false">
      <c r="B90" s="64" t="s">
        <v>215</v>
      </c>
      <c r="C90" s="64"/>
      <c r="D90" s="64"/>
      <c r="E90" s="64"/>
      <c r="F90" s="157" t="n">
        <f aca="false">AL_6_A_CUSTOS_INDIRETOS_SERV+AL_6_B_LUCRO_SERV+AL_6_C_TRIBUTOS_SERV</f>
        <v>558.623489158226</v>
      </c>
      <c r="L90" s="161"/>
      <c r="M90" s="161"/>
    </row>
    <row r="91" customFormat="false" ht="15.75" hidden="false" customHeight="true" outlineLevel="0" collapsed="false">
      <c r="B91" s="158" t="s">
        <v>254</v>
      </c>
      <c r="C91" s="159"/>
      <c r="D91" s="159"/>
      <c r="E91" s="159"/>
      <c r="F91" s="160"/>
      <c r="L91" s="161"/>
      <c r="M91" s="161"/>
    </row>
    <row r="92" customFormat="false" ht="16.5" hidden="false" customHeight="true" outlineLevel="0" collapsed="false">
      <c r="B92" s="47" t="s">
        <v>255</v>
      </c>
      <c r="C92" s="46" t="s">
        <v>256</v>
      </c>
      <c r="D92" s="46"/>
      <c r="E92" s="46"/>
      <c r="F92" s="47" t="s">
        <v>257</v>
      </c>
      <c r="L92" s="161"/>
      <c r="M92" s="161"/>
    </row>
    <row r="93" s="67" customFormat="true" ht="16.5" hidden="false" customHeight="true" outlineLevel="0" collapsed="false">
      <c r="B93" s="19" t="n">
        <v>1</v>
      </c>
      <c r="C93" s="71" t="s">
        <v>49</v>
      </c>
      <c r="D93" s="71"/>
      <c r="E93" s="71"/>
      <c r="F93" s="100" t="n">
        <f aca="false">MOD_1_REMUNERACAO_SERV</f>
        <v>1032</v>
      </c>
      <c r="H93" s="161"/>
      <c r="I93" s="161"/>
      <c r="J93" s="161"/>
      <c r="K93" s="161"/>
      <c r="L93" s="161"/>
      <c r="M93" s="161"/>
      <c r="N93" s="162"/>
    </row>
    <row r="94" s="67" customFormat="true" ht="16.5" hidden="false" customHeight="true" outlineLevel="0" collapsed="false">
      <c r="B94" s="47" t="n">
        <v>2</v>
      </c>
      <c r="C94" s="23" t="s">
        <v>258</v>
      </c>
      <c r="D94" s="23"/>
      <c r="E94" s="23"/>
      <c r="F94" s="102" t="n">
        <f aca="false">MOD_2_ENCARGOS_BENEFICIOS_SERV</f>
        <v>872.82</v>
      </c>
      <c r="H94" s="161"/>
      <c r="I94" s="161"/>
      <c r="J94" s="161"/>
      <c r="K94" s="161"/>
      <c r="L94" s="161"/>
      <c r="M94" s="161"/>
      <c r="N94" s="162"/>
    </row>
    <row r="95" s="67" customFormat="true" ht="16.5" hidden="false" customHeight="true" outlineLevel="0" collapsed="false">
      <c r="B95" s="47" t="n">
        <v>3</v>
      </c>
      <c r="C95" s="71" t="s">
        <v>177</v>
      </c>
      <c r="D95" s="71"/>
      <c r="E95" s="71"/>
      <c r="F95" s="100" t="n">
        <f aca="false">MOD_3_PROVISAO_RESCISAO_SERV</f>
        <v>29.0594773284518</v>
      </c>
      <c r="H95" s="161"/>
      <c r="I95" s="161"/>
      <c r="J95" s="161"/>
      <c r="K95" s="161"/>
      <c r="L95" s="161"/>
      <c r="M95" s="161"/>
      <c r="N95" s="162"/>
    </row>
    <row r="96" s="70" customFormat="true" ht="16.5" hidden="false" customHeight="true" outlineLevel="0" collapsed="false">
      <c r="B96" s="47" t="n">
        <v>4</v>
      </c>
      <c r="C96" s="23" t="s">
        <v>259</v>
      </c>
      <c r="D96" s="23"/>
      <c r="E96" s="23"/>
      <c r="F96" s="102" t="n">
        <f aca="false">MOD_4_CUSTO_REPOSICAO_SERV</f>
        <v>207.947904270545</v>
      </c>
      <c r="H96" s="161"/>
      <c r="I96" s="161"/>
      <c r="J96" s="161"/>
      <c r="K96" s="161"/>
      <c r="L96" s="161"/>
      <c r="M96" s="161"/>
      <c r="N96" s="162"/>
    </row>
    <row r="97" s="67" customFormat="true" ht="16.5" hidden="false" customHeight="true" outlineLevel="0" collapsed="false">
      <c r="B97" s="47" t="n">
        <v>5</v>
      </c>
      <c r="C97" s="71" t="s">
        <v>97</v>
      </c>
      <c r="D97" s="71"/>
      <c r="E97" s="71"/>
      <c r="F97" s="100" t="n">
        <f aca="false">MOD_5_INSUMOS_SERV</f>
        <v>514.136358333333</v>
      </c>
      <c r="H97" s="161"/>
      <c r="I97" s="161"/>
      <c r="J97" s="161"/>
      <c r="K97" s="161"/>
      <c r="L97" s="161"/>
      <c r="M97" s="161"/>
      <c r="N97" s="162"/>
    </row>
    <row r="98" s="68" customFormat="true" ht="16.5" hidden="false" customHeight="true" outlineLevel="0" collapsed="false">
      <c r="B98" s="47" t="n">
        <v>6</v>
      </c>
      <c r="C98" s="23" t="s">
        <v>252</v>
      </c>
      <c r="D98" s="23"/>
      <c r="E98" s="23"/>
      <c r="F98" s="102" t="n">
        <f aca="false">MOD_6_CUSTOS_IND_LUCRO_TRIB_SERV</f>
        <v>558.623489158226</v>
      </c>
      <c r="H98" s="161"/>
      <c r="I98" s="161"/>
      <c r="J98" s="161"/>
      <c r="K98" s="161"/>
      <c r="L98" s="161"/>
      <c r="M98" s="161"/>
      <c r="N98" s="162"/>
    </row>
    <row r="99" s="68" customFormat="true" ht="16.5" hidden="false" customHeight="true" outlineLevel="0" collapsed="false">
      <c r="B99" s="46" t="s">
        <v>263</v>
      </c>
      <c r="C99" s="46"/>
      <c r="D99" s="46"/>
      <c r="E99" s="46"/>
      <c r="F99" s="157" t="n">
        <f aca="false">SUM(F93:F98)</f>
        <v>3214.58722909056</v>
      </c>
      <c r="H99" s="161"/>
      <c r="I99" s="161"/>
      <c r="J99" s="161"/>
      <c r="K99" s="161"/>
      <c r="L99" s="161"/>
      <c r="M99" s="161"/>
      <c r="N99" s="162"/>
    </row>
    <row r="100" s="68" customFormat="true" ht="16.5" hidden="false" customHeight="false" outlineLevel="0" collapsed="false">
      <c r="B100" s="1"/>
      <c r="C100" s="1"/>
      <c r="D100" s="1"/>
      <c r="E100" s="1"/>
      <c r="F100" s="1"/>
      <c r="H100" s="161"/>
      <c r="I100" s="161"/>
      <c r="J100" s="161"/>
      <c r="K100" s="161"/>
      <c r="L100" s="161"/>
      <c r="M100" s="161"/>
      <c r="N100" s="162"/>
    </row>
    <row r="101" customFormat="false" ht="16.5" hidden="false" customHeight="true" outlineLevel="0" collapsed="false">
      <c r="L101" s="161"/>
      <c r="M101" s="161"/>
    </row>
    <row r="102" customFormat="false" ht="16.5" hidden="false" customHeight="true" outlineLevel="0" collapsed="false">
      <c r="L102" s="161"/>
      <c r="M102" s="161"/>
    </row>
    <row r="103" customFormat="false" ht="16.5" hidden="false" customHeight="false" outlineLevel="0" collapsed="false">
      <c r="L103" s="161"/>
      <c r="M103" s="161"/>
    </row>
    <row r="104" customFormat="false" ht="16.5" hidden="false" customHeight="false" outlineLevel="0" collapsed="false">
      <c r="L104" s="161"/>
      <c r="M104" s="161"/>
    </row>
    <row r="105" customFormat="false" ht="16.5" hidden="false" customHeight="false" outlineLevel="0" collapsed="false">
      <c r="L105" s="161"/>
      <c r="M105" s="161"/>
    </row>
    <row r="106" customFormat="false" ht="16.5" hidden="false" customHeight="false" outlineLevel="0" collapsed="false">
      <c r="L106" s="161"/>
      <c r="M106" s="161"/>
    </row>
    <row r="107" customFormat="false" ht="16.5" hidden="false" customHeight="false" outlineLevel="0" collapsed="false">
      <c r="L107" s="161"/>
      <c r="M107" s="161"/>
    </row>
    <row r="108" customFormat="false" ht="16.5" hidden="false" customHeight="false" outlineLevel="0" collapsed="false">
      <c r="L108" s="161"/>
      <c r="M108" s="161"/>
    </row>
    <row r="109" customFormat="false" ht="16.5" hidden="false" customHeight="false" outlineLevel="0" collapsed="false">
      <c r="L109" s="161"/>
      <c r="M109" s="161"/>
      <c r="N109" s="161"/>
    </row>
    <row r="110" customFormat="false" ht="16.5" hidden="false" customHeight="false" outlineLevel="0" collapsed="false">
      <c r="L110" s="161"/>
      <c r="M110" s="161"/>
      <c r="N110" s="161"/>
    </row>
    <row r="111" customFormat="false" ht="16.5" hidden="false" customHeight="false" outlineLevel="0" collapsed="false">
      <c r="L111" s="161"/>
      <c r="M111" s="161"/>
      <c r="N111" s="161"/>
    </row>
    <row r="112" customFormat="false" ht="16.5" hidden="false" customHeight="false" outlineLevel="0" collapsed="false">
      <c r="L112" s="161"/>
      <c r="M112" s="161"/>
      <c r="N112" s="161"/>
    </row>
    <row r="113" customFormat="false" ht="16.5" hidden="false" customHeight="false" outlineLevel="0" collapsed="false">
      <c r="L113" s="161"/>
      <c r="M113" s="161"/>
      <c r="N113" s="161"/>
    </row>
    <row r="114" customFormat="false" ht="16.5" hidden="false" customHeight="false" outlineLevel="0" collapsed="false">
      <c r="L114" s="161"/>
      <c r="M114" s="161"/>
      <c r="N114" s="161"/>
    </row>
    <row r="115" customFormat="false" ht="16.5" hidden="false" customHeight="false" outlineLevel="0" collapsed="false">
      <c r="L115" s="161"/>
      <c r="M115" s="161"/>
      <c r="N115" s="161"/>
    </row>
    <row r="116" customFormat="false" ht="16.5" hidden="false" customHeight="false" outlineLevel="0" collapsed="false">
      <c r="H116" s="169"/>
      <c r="I116" s="169"/>
      <c r="J116" s="169"/>
      <c r="K116" s="169"/>
      <c r="L116" s="169"/>
      <c r="M116" s="169"/>
      <c r="N116" s="169"/>
    </row>
    <row r="117" customFormat="false" ht="16.5" hidden="false" customHeight="false" outlineLevel="0" collapsed="false">
      <c r="H117" s="169"/>
      <c r="I117" s="169"/>
      <c r="J117" s="169"/>
      <c r="K117" s="169"/>
      <c r="L117" s="169"/>
      <c r="M117" s="169"/>
      <c r="N117" s="169"/>
    </row>
    <row r="118" customFormat="false" ht="16.5" hidden="false" customHeight="false" outlineLevel="0" collapsed="false">
      <c r="H118" s="169"/>
      <c r="I118" s="169"/>
      <c r="J118" s="169"/>
      <c r="K118" s="169"/>
      <c r="L118" s="169"/>
      <c r="M118" s="169"/>
      <c r="N118" s="169"/>
    </row>
    <row r="119" customFormat="false" ht="16.5" hidden="false" customHeight="false" outlineLevel="0" collapsed="false">
      <c r="H119" s="169"/>
      <c r="I119" s="169"/>
      <c r="J119" s="169"/>
      <c r="K119" s="169"/>
      <c r="L119" s="169"/>
      <c r="M119" s="169"/>
      <c r="N119" s="169"/>
    </row>
    <row r="120" customFormat="false" ht="16.5" hidden="false" customHeight="false" outlineLevel="0" collapsed="false">
      <c r="H120" s="169"/>
      <c r="I120" s="169"/>
      <c r="J120" s="169"/>
      <c r="K120" s="169"/>
      <c r="L120" s="169"/>
      <c r="M120" s="169"/>
      <c r="N120" s="169"/>
    </row>
    <row r="121" customFormat="false" ht="16.5" hidden="false" customHeight="false" outlineLevel="0" collapsed="false">
      <c r="H121" s="170"/>
      <c r="I121" s="170"/>
      <c r="J121" s="170"/>
      <c r="K121" s="170"/>
      <c r="L121" s="170"/>
      <c r="M121" s="170"/>
      <c r="N121" s="170"/>
    </row>
    <row r="122" customFormat="false" ht="16.5" hidden="false" customHeight="false" outlineLevel="0" collapsed="false">
      <c r="H122" s="169"/>
      <c r="I122" s="169"/>
      <c r="J122" s="169"/>
      <c r="K122" s="169"/>
      <c r="L122" s="169"/>
      <c r="M122" s="169"/>
      <c r="N122" s="169"/>
    </row>
    <row r="123" customFormat="false" ht="16.5" hidden="false" customHeight="false" outlineLevel="0" collapsed="false">
      <c r="H123" s="113"/>
      <c r="I123" s="113"/>
      <c r="J123" s="113"/>
      <c r="K123" s="113"/>
      <c r="L123" s="113"/>
      <c r="M123" s="113"/>
      <c r="N123" s="113"/>
    </row>
    <row r="124" customFormat="false" ht="16.5" hidden="false" customHeight="false" outlineLevel="0" collapsed="false">
      <c r="H124" s="113"/>
      <c r="I124" s="113"/>
      <c r="J124" s="113"/>
      <c r="K124" s="113"/>
      <c r="L124" s="113"/>
      <c r="M124" s="113"/>
      <c r="N124" s="113"/>
    </row>
    <row r="125" customFormat="false" ht="16.5" hidden="false" customHeight="false" outlineLevel="0" collapsed="false">
      <c r="H125" s="113"/>
      <c r="I125" s="113"/>
      <c r="J125" s="113"/>
      <c r="K125" s="113"/>
      <c r="L125" s="113"/>
      <c r="M125" s="113"/>
      <c r="N125" s="113"/>
    </row>
    <row r="126" customFormat="false" ht="16.5" hidden="false" customHeight="false" outlineLevel="0" collapsed="false">
      <c r="H126" s="113"/>
      <c r="I126" s="113"/>
      <c r="J126" s="113"/>
      <c r="K126" s="113"/>
      <c r="L126" s="113"/>
      <c r="M126" s="113"/>
      <c r="N126" s="113"/>
    </row>
    <row r="127" customFormat="false" ht="16.5" hidden="false" customHeight="false" outlineLevel="0" collapsed="false">
      <c r="H127" s="113"/>
      <c r="I127" s="113"/>
      <c r="J127" s="113"/>
      <c r="K127" s="113"/>
      <c r="L127" s="113"/>
      <c r="M127" s="113"/>
      <c r="N127" s="113"/>
    </row>
    <row r="128" customFormat="false" ht="16.5" hidden="false" customHeight="false" outlineLevel="0" collapsed="false">
      <c r="L128" s="161"/>
      <c r="M128" s="161"/>
      <c r="N128" s="161"/>
    </row>
    <row r="129" customFormat="false" ht="16.5" hidden="false" customHeight="false" outlineLevel="0" collapsed="false">
      <c r="L129" s="161"/>
      <c r="M129" s="161"/>
      <c r="N129" s="161"/>
    </row>
    <row r="130" customFormat="false" ht="16.5" hidden="false" customHeight="false" outlineLevel="0" collapsed="false">
      <c r="L130" s="161"/>
      <c r="M130" s="161"/>
      <c r="N130" s="161"/>
    </row>
    <row r="131" customFormat="false" ht="16.5" hidden="false" customHeight="false" outlineLevel="0" collapsed="false">
      <c r="L131" s="161"/>
      <c r="M131" s="161"/>
      <c r="N131" s="161"/>
    </row>
    <row r="132" customFormat="false" ht="16.5" hidden="false" customHeight="false" outlineLevel="0" collapsed="false">
      <c r="L132" s="161"/>
      <c r="M132" s="161"/>
      <c r="N132" s="161"/>
    </row>
    <row r="133" customFormat="false" ht="16.5" hidden="false" customHeight="false" outlineLevel="0" collapsed="false">
      <c r="L133" s="161"/>
      <c r="M133" s="161"/>
      <c r="N133" s="161"/>
    </row>
    <row r="134" customFormat="false" ht="16.5" hidden="false" customHeight="false" outlineLevel="0" collapsed="false">
      <c r="L134" s="161"/>
      <c r="M134" s="161"/>
      <c r="N134" s="161"/>
    </row>
    <row r="144" customFormat="false" ht="16.5" hidden="false" customHeight="false" outlineLevel="0" collapsed="false">
      <c r="H144" s="162"/>
      <c r="I144" s="162"/>
      <c r="J144" s="162"/>
      <c r="K144" s="162"/>
    </row>
    <row r="145" customFormat="false" ht="16.5" hidden="false" customHeight="false" outlineLevel="0" collapsed="false">
      <c r="H145" s="162"/>
      <c r="I145" s="162"/>
      <c r="J145" s="162"/>
      <c r="K145" s="162"/>
    </row>
    <row r="146" customFormat="false" ht="16.5" hidden="false" customHeight="false" outlineLevel="0" collapsed="false">
      <c r="H146" s="162"/>
      <c r="I146" s="162"/>
      <c r="J146" s="162"/>
      <c r="K146" s="162"/>
    </row>
    <row r="147" customFormat="false" ht="16.5" hidden="false" customHeight="false" outlineLevel="0" collapsed="false">
      <c r="H147" s="162"/>
      <c r="I147" s="162"/>
      <c r="J147" s="162"/>
      <c r="K147" s="162"/>
    </row>
    <row r="148" customFormat="false" ht="16.5" hidden="false" customHeight="false" outlineLevel="0" collapsed="false">
      <c r="H148" s="162"/>
      <c r="I148" s="162"/>
      <c r="J148" s="162"/>
      <c r="K148" s="162"/>
    </row>
    <row r="149" customFormat="false" ht="16.5" hidden="false" customHeight="false" outlineLevel="0" collapsed="false">
      <c r="H149" s="162"/>
      <c r="I149" s="162"/>
      <c r="J149" s="162"/>
      <c r="K149" s="162"/>
    </row>
    <row r="150" customFormat="false" ht="16.5" hidden="false" customHeight="false" outlineLevel="0" collapsed="false">
      <c r="H150" s="162"/>
      <c r="I150" s="162"/>
      <c r="J150" s="162"/>
      <c r="K150" s="162"/>
    </row>
    <row r="151" customFormat="false" ht="16.5" hidden="false" customHeight="false" outlineLevel="0" collapsed="false">
      <c r="H151" s="162"/>
      <c r="I151" s="162"/>
      <c r="J151" s="162"/>
      <c r="K151" s="162"/>
    </row>
    <row r="152" customFormat="false" ht="16.5" hidden="false" customHeight="false" outlineLevel="0" collapsed="false">
      <c r="H152" s="162"/>
      <c r="I152" s="162"/>
      <c r="J152" s="162"/>
      <c r="K152" s="162"/>
    </row>
    <row r="153" customFormat="false" ht="16.5" hidden="false" customHeight="false" outlineLevel="0" collapsed="false">
      <c r="H153" s="162"/>
      <c r="I153" s="162"/>
      <c r="J153" s="162"/>
      <c r="K153" s="162"/>
    </row>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A1" activeCellId="0" sqref="A1"/>
    </sheetView>
  </sheetViews>
  <sheetFormatPr defaultRowHeight="13.8" zeroHeight="false" outlineLevelRow="0" outlineLevelCol="0"/>
  <cols>
    <col collapsed="false" customWidth="true" hidden="false" outlineLevel="0" max="1" min="1" style="166" width="1.12"/>
    <col collapsed="false" customWidth="true" hidden="false" outlineLevel="0" max="2" min="2" style="161" width="20.71"/>
    <col collapsed="false" customWidth="true" hidden="false" outlineLevel="0" max="3" min="3" style="113" width="20.42"/>
    <col collapsed="false" customWidth="true" hidden="false" outlineLevel="0" max="4" min="4" style="161" width="18.58"/>
    <col collapsed="false" customWidth="true" hidden="false" outlineLevel="0" max="5" min="5" style="161" width="17.4"/>
    <col collapsed="false" customWidth="true" hidden="false" outlineLevel="0" max="6" min="6" style="161" width="19.01"/>
    <col collapsed="false" customWidth="true" hidden="false" outlineLevel="0" max="7" min="7" style="162" width="17.71"/>
    <col collapsed="false" customWidth="true" hidden="false" outlineLevel="0" max="8" min="8" style="162" width="18.85"/>
    <col collapsed="false" customWidth="true" hidden="false" outlineLevel="0" max="9" min="9" style="162" width="17.29"/>
    <col collapsed="false" customWidth="true" hidden="false" outlineLevel="0" max="257" min="10" style="166" width="9.13"/>
    <col collapsed="false" customWidth="true" hidden="false" outlineLevel="0" max="258" min="258" style="166" width="1.12"/>
    <col collapsed="false" customWidth="true" hidden="false" outlineLevel="0" max="259" min="259" style="166" width="20.71"/>
    <col collapsed="false" customWidth="true" hidden="false" outlineLevel="0" max="260" min="260" style="166" width="23.42"/>
    <col collapsed="false" customWidth="true" hidden="false" outlineLevel="0" max="261" min="261" style="166" width="20.57"/>
    <col collapsed="false" customWidth="true" hidden="false" outlineLevel="0" max="262" min="262" style="166" width="19.99"/>
    <col collapsed="false" customWidth="true" hidden="false" outlineLevel="0" max="263" min="263" style="166" width="23.15"/>
    <col collapsed="false" customWidth="true" hidden="false" outlineLevel="0" max="264" min="264" style="166" width="13.57"/>
    <col collapsed="false" customWidth="true" hidden="false" outlineLevel="0" max="265" min="265" style="166" width="17.29"/>
    <col collapsed="false" customWidth="true" hidden="false" outlineLevel="0" max="513" min="266" style="166" width="9.13"/>
    <col collapsed="false" customWidth="true" hidden="false" outlineLevel="0" max="514" min="514" style="166" width="1.12"/>
    <col collapsed="false" customWidth="true" hidden="false" outlineLevel="0" max="515" min="515" style="166" width="20.71"/>
    <col collapsed="false" customWidth="true" hidden="false" outlineLevel="0" max="516" min="516" style="166" width="23.42"/>
    <col collapsed="false" customWidth="true" hidden="false" outlineLevel="0" max="517" min="517" style="166" width="20.57"/>
    <col collapsed="false" customWidth="true" hidden="false" outlineLevel="0" max="518" min="518" style="166" width="19.99"/>
    <col collapsed="false" customWidth="true" hidden="false" outlineLevel="0" max="519" min="519" style="166" width="23.15"/>
    <col collapsed="false" customWidth="true" hidden="false" outlineLevel="0" max="520" min="520" style="166" width="13.57"/>
    <col collapsed="false" customWidth="true" hidden="false" outlineLevel="0" max="521" min="521" style="166" width="17.29"/>
    <col collapsed="false" customWidth="true" hidden="false" outlineLevel="0" max="769" min="522" style="166" width="9.13"/>
    <col collapsed="false" customWidth="true" hidden="false" outlineLevel="0" max="770" min="770" style="166" width="1.12"/>
    <col collapsed="false" customWidth="true" hidden="false" outlineLevel="0" max="771" min="771" style="166" width="20.71"/>
    <col collapsed="false" customWidth="true" hidden="false" outlineLevel="0" max="772" min="772" style="166" width="23.42"/>
    <col collapsed="false" customWidth="true" hidden="false" outlineLevel="0" max="773" min="773" style="166" width="20.57"/>
    <col collapsed="false" customWidth="true" hidden="false" outlineLevel="0" max="774" min="774" style="166" width="19.99"/>
    <col collapsed="false" customWidth="true" hidden="false" outlineLevel="0" max="775" min="775" style="166" width="23.15"/>
    <col collapsed="false" customWidth="true" hidden="false" outlineLevel="0" max="776" min="776" style="166" width="13.57"/>
    <col collapsed="false" customWidth="true" hidden="false" outlineLevel="0" max="777" min="777" style="166" width="17.29"/>
    <col collapsed="false" customWidth="true" hidden="false" outlineLevel="0" max="1025" min="778" style="166" width="9.13"/>
  </cols>
  <sheetData>
    <row r="1" s="171" customFormat="true" ht="17.35" hidden="false" customHeight="false" outlineLevel="0" collapsed="false">
      <c r="B1" s="172" t="str">
        <f aca="false">RAMO</f>
        <v>RAMO: MINISTÉRIO PÚBLICO FEDERAL</v>
      </c>
      <c r="C1" s="172"/>
      <c r="D1" s="172"/>
      <c r="E1" s="172"/>
      <c r="F1" s="172"/>
      <c r="G1" s="172"/>
      <c r="H1" s="172"/>
      <c r="I1" s="172"/>
    </row>
    <row r="2" s="171" customFormat="true" ht="17.35" hidden="false" customHeight="false" outlineLevel="0" collapsed="false">
      <c r="B2" s="173" t="str">
        <f aca="false">UG</f>
        <v>UNIDADE GESTORA (SIGLA): PRMS</v>
      </c>
      <c r="C2" s="173"/>
      <c r="D2" s="173"/>
      <c r="E2" s="173"/>
      <c r="F2" s="173"/>
      <c r="G2" s="173"/>
      <c r="H2" s="116" t="s">
        <v>2</v>
      </c>
      <c r="I2" s="117" t="str">
        <f aca="false">IF(DATA_DO_ORCAMENTO_ESTIMATIVO="","",DATA_DO_ORCAMENTO_ESTIMATIVO)</f>
        <v/>
      </c>
    </row>
    <row r="3" customFormat="false" ht="9" hidden="false" customHeight="true" outlineLevel="0" collapsed="false"/>
    <row r="4" customFormat="false" ht="17.35" hidden="false" customHeight="false" outlineLevel="0" collapsed="false">
      <c r="B4" s="174" t="s">
        <v>264</v>
      </c>
      <c r="C4" s="174"/>
      <c r="D4" s="174"/>
      <c r="E4" s="174"/>
      <c r="F4" s="174"/>
      <c r="G4" s="174"/>
      <c r="H4" s="174"/>
      <c r="I4" s="174"/>
    </row>
    <row r="5" customFormat="false" ht="15" hidden="false" customHeight="true" outlineLevel="0" collapsed="false">
      <c r="B5" s="175" t="s">
        <v>265</v>
      </c>
      <c r="C5" s="175"/>
      <c r="D5" s="175"/>
      <c r="E5" s="175"/>
      <c r="F5" s="175"/>
      <c r="G5" s="175"/>
      <c r="H5" s="175"/>
      <c r="I5" s="175"/>
    </row>
    <row r="6" s="176" customFormat="true" ht="10.5" hidden="false" customHeight="true" outlineLevel="0" collapsed="false">
      <c r="B6" s="177"/>
      <c r="C6" s="178"/>
      <c r="D6" s="177"/>
      <c r="E6" s="177"/>
      <c r="F6" s="177"/>
      <c r="G6" s="177"/>
      <c r="H6" s="177"/>
      <c r="I6" s="177"/>
    </row>
    <row r="7" customFormat="false" ht="15" hidden="false" customHeight="true" outlineLevel="0" collapsed="false">
      <c r="B7" s="175" t="s">
        <v>313</v>
      </c>
      <c r="C7" s="175"/>
      <c r="D7" s="175"/>
      <c r="E7" s="175"/>
      <c r="F7" s="175"/>
      <c r="G7" s="175"/>
      <c r="H7" s="175"/>
      <c r="I7" s="175"/>
    </row>
    <row r="8" customFormat="false" ht="14.25" hidden="false" customHeight="true" outlineLevel="0" collapsed="false">
      <c r="B8" s="179" t="s">
        <v>267</v>
      </c>
      <c r="C8" s="179"/>
      <c r="D8" s="179"/>
      <c r="E8" s="179"/>
      <c r="F8" s="179"/>
      <c r="G8" s="179"/>
      <c r="H8" s="179"/>
      <c r="I8" s="179"/>
    </row>
    <row r="9" customFormat="false" ht="15.75" hidden="false" customHeight="true" outlineLevel="0" collapsed="false">
      <c r="B9" s="179"/>
      <c r="C9" s="179"/>
      <c r="D9" s="179"/>
      <c r="E9" s="179"/>
      <c r="F9" s="179"/>
      <c r="G9" s="179"/>
      <c r="H9" s="179"/>
      <c r="I9" s="179"/>
    </row>
    <row r="10" customFormat="false" ht="12.75" hidden="false" customHeight="true" outlineLevel="0" collapsed="false">
      <c r="A10" s="180"/>
      <c r="B10" s="19" t="s">
        <v>268</v>
      </c>
      <c r="C10" s="47" t="s">
        <v>269</v>
      </c>
      <c r="D10" s="47" t="s">
        <v>270</v>
      </c>
      <c r="E10" s="47" t="s">
        <v>271</v>
      </c>
      <c r="F10" s="47" t="s">
        <v>272</v>
      </c>
      <c r="G10" s="181"/>
      <c r="I10" s="166"/>
    </row>
    <row r="11" customFormat="false" ht="21" hidden="false" customHeight="true" outlineLevel="0" collapsed="false">
      <c r="A11" s="180"/>
      <c r="B11" s="19"/>
      <c r="C11" s="47"/>
      <c r="D11" s="47"/>
      <c r="E11" s="47"/>
      <c r="F11" s="47"/>
      <c r="G11" s="181"/>
      <c r="I11" s="166"/>
    </row>
    <row r="12" customFormat="false" ht="15.75" hidden="false" customHeight="false" outlineLevel="0" collapsed="false">
      <c r="A12" s="180"/>
      <c r="B12" s="84" t="s">
        <v>275</v>
      </c>
      <c r="C12" s="88" t="s">
        <v>274</v>
      </c>
      <c r="D12" s="183" t="n">
        <f aca="false">1/'INSERÇÃO-DE-DADOS_PRODUTIVIDADE'!L9</f>
        <v>0.00125</v>
      </c>
      <c r="E12" s="184" t="n">
        <f aca="false">'SERVENTE TL'!F99</f>
        <v>3214.58722909056</v>
      </c>
      <c r="F12" s="184" t="n">
        <f aca="false">D12*E12</f>
        <v>4.0182340363632</v>
      </c>
      <c r="G12" s="181"/>
      <c r="I12" s="166"/>
    </row>
    <row r="13" customFormat="false" ht="15.75" hidden="false" customHeight="false" outlineLevel="0" collapsed="false">
      <c r="A13" s="180"/>
      <c r="B13" s="84" t="s">
        <v>275</v>
      </c>
      <c r="C13" s="88" t="s">
        <v>277</v>
      </c>
      <c r="D13" s="183" t="n">
        <f aca="false">1/'INSERÇÃO-DE-DADOS_PRODUTIVIDADE'!L10</f>
        <v>0.000666666666666667</v>
      </c>
      <c r="E13" s="184" t="n">
        <f aca="false">'SERVENTE TL'!F99</f>
        <v>3214.58722909056</v>
      </c>
      <c r="F13" s="184" t="n">
        <f aca="false">D13*E13</f>
        <v>2.14305815272704</v>
      </c>
      <c r="G13" s="181"/>
      <c r="I13" s="166"/>
    </row>
    <row r="14" customFormat="false" ht="15.75" hidden="false" customHeight="false" outlineLevel="0" collapsed="false">
      <c r="A14" s="180"/>
      <c r="B14" s="84" t="s">
        <v>275</v>
      </c>
      <c r="C14" s="88" t="s">
        <v>279</v>
      </c>
      <c r="D14" s="183" t="n">
        <f aca="false">1/'INSERÇÃO-DE-DADOS_PRODUTIVIDADE'!L11</f>
        <v>0.005</v>
      </c>
      <c r="E14" s="184" t="n">
        <f aca="false">'SERVENTE TL'!F99</f>
        <v>3214.58722909056</v>
      </c>
      <c r="F14" s="184" t="n">
        <f aca="false">D14*E14</f>
        <v>16.0729361454528</v>
      </c>
      <c r="G14" s="181"/>
      <c r="I14" s="166"/>
    </row>
    <row r="15" customFormat="false" ht="3.75" hidden="false" customHeight="true" outlineLevel="0" collapsed="false">
      <c r="B15" s="182"/>
      <c r="C15" s="188"/>
      <c r="D15" s="189"/>
      <c r="E15" s="189"/>
      <c r="F15" s="189"/>
      <c r="G15" s="190"/>
      <c r="I15" s="166"/>
    </row>
    <row r="16" s="191" customFormat="true" ht="15.75" hidden="false" customHeight="true" outlineLevel="0" collapsed="false">
      <c r="B16" s="179" t="s">
        <v>309</v>
      </c>
      <c r="C16" s="179"/>
      <c r="D16" s="179"/>
      <c r="E16" s="179"/>
      <c r="F16" s="179"/>
      <c r="G16" s="179"/>
      <c r="H16" s="179"/>
      <c r="I16" s="179"/>
    </row>
    <row r="17" s="191" customFormat="true" ht="12.8" hidden="false" customHeight="false" outlineLevel="0" collapsed="false">
      <c r="B17" s="179"/>
      <c r="C17" s="179"/>
      <c r="D17" s="179"/>
      <c r="E17" s="179"/>
      <c r="F17" s="179"/>
      <c r="G17" s="179"/>
      <c r="H17" s="179"/>
      <c r="I17" s="179"/>
    </row>
    <row r="18" customFormat="false" ht="12.8" hidden="false" customHeight="true" outlineLevel="0" collapsed="false">
      <c r="A18" s="180"/>
      <c r="B18" s="19" t="s">
        <v>268</v>
      </c>
      <c r="C18" s="47" t="s">
        <v>269</v>
      </c>
      <c r="D18" s="47" t="s">
        <v>270</v>
      </c>
      <c r="E18" s="47" t="s">
        <v>271</v>
      </c>
      <c r="F18" s="47" t="s">
        <v>272</v>
      </c>
      <c r="G18" s="181"/>
    </row>
    <row r="19" customFormat="false" ht="31.5" hidden="false" customHeight="true" outlineLevel="0" collapsed="false">
      <c r="A19" s="180"/>
      <c r="B19" s="19"/>
      <c r="C19" s="47"/>
      <c r="D19" s="47"/>
      <c r="E19" s="47"/>
      <c r="F19" s="47"/>
      <c r="G19" s="181"/>
      <c r="H19" s="161"/>
    </row>
    <row r="20" customFormat="false" ht="15.75" hidden="false" customHeight="false" outlineLevel="0" collapsed="false">
      <c r="A20" s="180"/>
      <c r="B20" s="84" t="s">
        <v>275</v>
      </c>
      <c r="C20" s="88" t="s">
        <v>282</v>
      </c>
      <c r="D20" s="183" t="n">
        <f aca="false">1/'INSERÇÃO-DE-DADOS_PRODUTIVIDADE'!L12</f>
        <v>0.000555555555555556</v>
      </c>
      <c r="E20" s="184" t="n">
        <f aca="false">'SERVENTE TL'!F99</f>
        <v>3214.58722909056</v>
      </c>
      <c r="F20" s="184" t="n">
        <f aca="false">D20*E20</f>
        <v>1.7858817939392</v>
      </c>
      <c r="G20" s="181"/>
      <c r="H20" s="161"/>
    </row>
    <row r="21" customFormat="false" ht="46.4" hidden="false" customHeight="false" outlineLevel="0" collapsed="false">
      <c r="A21" s="180"/>
      <c r="B21" s="84" t="s">
        <v>275</v>
      </c>
      <c r="C21" s="88" t="s">
        <v>284</v>
      </c>
      <c r="D21" s="183" t="n">
        <f aca="false">1/'INSERÇÃO-DE-DADOS_PRODUTIVIDADE'!L13</f>
        <v>0.000166666666666667</v>
      </c>
      <c r="E21" s="184" t="n">
        <f aca="false">'SERVENTE TL'!F99</f>
        <v>3214.58722909056</v>
      </c>
      <c r="F21" s="184" t="n">
        <f aca="false">D21*E21</f>
        <v>0.535764538181761</v>
      </c>
      <c r="G21" s="181"/>
      <c r="H21" s="161"/>
    </row>
    <row r="22" customFormat="false" ht="15.75" hidden="false" customHeight="false" outlineLevel="0" collapsed="false">
      <c r="A22" s="180"/>
      <c r="B22" s="84" t="s">
        <v>275</v>
      </c>
      <c r="C22" s="88" t="s">
        <v>286</v>
      </c>
      <c r="D22" s="183" t="n">
        <f aca="false">1/'INSERÇÃO-DE-DADOS_PRODUTIVIDADE'!L14</f>
        <v>0.000555555555555556</v>
      </c>
      <c r="E22" s="184" t="n">
        <f aca="false">'SERVENTE TL'!F99</f>
        <v>3214.58722909056</v>
      </c>
      <c r="F22" s="184" t="n">
        <f aca="false">D22*E22</f>
        <v>1.7858817939392</v>
      </c>
      <c r="G22" s="181"/>
      <c r="H22" s="161"/>
    </row>
    <row r="23" customFormat="false" ht="3.75" hidden="false" customHeight="true" outlineLevel="0" collapsed="false">
      <c r="B23" s="182"/>
      <c r="C23" s="188"/>
      <c r="D23" s="189"/>
      <c r="E23" s="189"/>
      <c r="F23" s="189"/>
      <c r="G23" s="193"/>
      <c r="H23" s="181"/>
      <c r="I23" s="181"/>
    </row>
    <row r="24" s="191" customFormat="true" ht="12.75" hidden="false" customHeight="true" outlineLevel="0" collapsed="false">
      <c r="B24" s="179" t="s">
        <v>287</v>
      </c>
      <c r="C24" s="179"/>
      <c r="D24" s="179"/>
      <c r="E24" s="179"/>
      <c r="F24" s="179"/>
      <c r="G24" s="179"/>
      <c r="H24" s="179"/>
      <c r="I24" s="179"/>
    </row>
    <row r="25" s="191" customFormat="true" ht="15.75" hidden="false" customHeight="true" outlineLevel="0" collapsed="false">
      <c r="B25" s="179"/>
      <c r="C25" s="179"/>
      <c r="D25" s="179"/>
      <c r="E25" s="179"/>
      <c r="F25" s="179"/>
      <c r="G25" s="179"/>
      <c r="H25" s="179"/>
      <c r="I25" s="179"/>
    </row>
    <row r="26" customFormat="false" ht="12.8" hidden="false" customHeight="true" outlineLevel="0" collapsed="false">
      <c r="A26" s="180"/>
      <c r="B26" s="19" t="s">
        <v>268</v>
      </c>
      <c r="C26" s="47" t="s">
        <v>269</v>
      </c>
      <c r="D26" s="47" t="s">
        <v>270</v>
      </c>
      <c r="E26" s="47" t="s">
        <v>288</v>
      </c>
      <c r="F26" s="47" t="s">
        <v>289</v>
      </c>
      <c r="G26" s="47" t="s">
        <v>290</v>
      </c>
      <c r="H26" s="47" t="s">
        <v>291</v>
      </c>
      <c r="I26" s="47" t="s">
        <v>292</v>
      </c>
    </row>
    <row r="27" customFormat="false" ht="12.8" hidden="false" customHeight="false" outlineLevel="0" collapsed="false">
      <c r="A27" s="180"/>
      <c r="B27" s="19"/>
      <c r="C27" s="47"/>
      <c r="D27" s="47"/>
      <c r="E27" s="47"/>
      <c r="F27" s="47"/>
      <c r="G27" s="47"/>
      <c r="H27" s="47"/>
      <c r="I27" s="47"/>
    </row>
    <row r="28" customFormat="false" ht="36" hidden="false" customHeight="true" outlineLevel="0" collapsed="false">
      <c r="A28" s="180"/>
      <c r="B28" s="19"/>
      <c r="C28" s="47"/>
      <c r="D28" s="47"/>
      <c r="E28" s="47"/>
      <c r="F28" s="47"/>
      <c r="G28" s="47"/>
      <c r="H28" s="47"/>
      <c r="I28" s="47"/>
    </row>
    <row r="29" customFormat="false" ht="15.75" hidden="false" customHeight="false" outlineLevel="0" collapsed="false">
      <c r="A29" s="180"/>
      <c r="B29" s="84" t="s">
        <v>275</v>
      </c>
      <c r="C29" s="88" t="s">
        <v>293</v>
      </c>
      <c r="D29" s="183" t="n">
        <f aca="false">1/'INSERÇÃO-DE-DADOS_PRODUTIVIDADE'!L15</f>
        <v>0.00333333333333333</v>
      </c>
      <c r="E29" s="194" t="n">
        <f aca="false">'INSERÇÃO-DE-DADOS_PRODUTIVIDADE'!P15</f>
        <v>16</v>
      </c>
      <c r="F29" s="195" t="n">
        <f aca="false">1/((DIAS_NO_MES/DIAS_NA_SEMANA)*CARGA_HORARIA_SEMANAL)</f>
        <v>0.0053030303030303</v>
      </c>
      <c r="G29" s="195" t="n">
        <f aca="false">D29*E29*F29</f>
        <v>0.000282828282828283</v>
      </c>
      <c r="H29" s="184" t="n">
        <f aca="false">'SERVENTE TL'!F99</f>
        <v>3214.58722909056</v>
      </c>
      <c r="I29" s="184" t="n">
        <f aca="false">G29*H29</f>
        <v>0.90917618600541</v>
      </c>
    </row>
    <row r="30" customFormat="false" ht="15.75" hidden="false" customHeight="false" outlineLevel="0" collapsed="false">
      <c r="A30" s="180"/>
      <c r="B30" s="84"/>
      <c r="C30" s="88" t="s">
        <v>294</v>
      </c>
      <c r="D30" s="183" t="n">
        <f aca="false">1/'INSERÇÃO-DE-DADOS_PRODUTIVIDADE'!L16</f>
        <v>0.00333333333333333</v>
      </c>
      <c r="E30" s="194" t="n">
        <f aca="false">'INSERÇÃO-DE-DADOS_PRODUTIVIDADE'!P16</f>
        <v>16</v>
      </c>
      <c r="F30" s="195" t="n">
        <f aca="false">1/((DIAS_NO_MES/DIAS_NA_SEMANA)*CARGA_HORARIA_SEMANAL)</f>
        <v>0.0053030303030303</v>
      </c>
      <c r="G30" s="195" t="n">
        <f aca="false">D30*E30*F30</f>
        <v>0.000282828282828283</v>
      </c>
      <c r="H30" s="184" t="n">
        <f aca="false">'SERVENTE TL'!F99</f>
        <v>3214.58722909056</v>
      </c>
      <c r="I30" s="184" t="n">
        <f aca="false">G30*H30</f>
        <v>0.90917618600541</v>
      </c>
    </row>
    <row r="31" customFormat="false" ht="10.25" hidden="false" customHeight="true" outlineLevel="0" collapsed="false">
      <c r="A31" s="180"/>
      <c r="B31" s="182"/>
      <c r="C31" s="188"/>
      <c r="D31" s="189"/>
      <c r="E31" s="189"/>
      <c r="F31" s="189"/>
      <c r="G31" s="189"/>
      <c r="H31" s="189"/>
      <c r="I31" s="189"/>
    </row>
    <row r="32" customFormat="false" ht="9" hidden="false" customHeight="true" outlineLevel="0" collapsed="false">
      <c r="B32" s="182"/>
      <c r="C32" s="188"/>
      <c r="D32" s="189"/>
      <c r="E32" s="189"/>
      <c r="F32" s="189"/>
      <c r="G32" s="193"/>
      <c r="H32" s="161"/>
    </row>
    <row r="33" s="191" customFormat="true" ht="13.5" hidden="false" customHeight="true" outlineLevel="0" collapsed="false">
      <c r="B33" s="199" t="s">
        <v>297</v>
      </c>
      <c r="C33" s="199"/>
      <c r="D33" s="199"/>
      <c r="E33" s="199"/>
      <c r="F33" s="199"/>
      <c r="G33" s="166"/>
      <c r="H33" s="166"/>
    </row>
    <row r="34" s="166" customFormat="true" ht="13.5" hidden="false" customHeight="true" outlineLevel="0" collapsed="false">
      <c r="B34" s="202"/>
      <c r="C34" s="202"/>
      <c r="D34" s="202"/>
      <c r="E34" s="202"/>
      <c r="F34" s="202"/>
    </row>
    <row r="35" s="166" customFormat="true" ht="27" hidden="false" customHeight="true" outlineLevel="0" collapsed="false">
      <c r="B35" s="47" t="s">
        <v>269</v>
      </c>
      <c r="C35" s="47"/>
      <c r="D35" s="47" t="s">
        <v>298</v>
      </c>
      <c r="E35" s="47" t="s">
        <v>299</v>
      </c>
      <c r="F35" s="47" t="s">
        <v>300</v>
      </c>
    </row>
    <row r="36" s="166" customFormat="true" ht="27" hidden="false" customHeight="true" outlineLevel="0" collapsed="false">
      <c r="B36" s="47"/>
      <c r="C36" s="47"/>
      <c r="D36" s="47"/>
      <c r="E36" s="47"/>
      <c r="F36" s="47"/>
    </row>
    <row r="37" s="166" customFormat="true" ht="45.6" hidden="false" customHeight="true" outlineLevel="0" collapsed="false">
      <c r="B37" s="47"/>
      <c r="C37" s="47"/>
      <c r="D37" s="47" t="s">
        <v>135</v>
      </c>
      <c r="E37" s="47" t="s">
        <v>310</v>
      </c>
      <c r="F37" s="47" t="s">
        <v>302</v>
      </c>
    </row>
    <row r="38" s="166" customFormat="true" ht="19.3" hidden="false" customHeight="true" outlineLevel="0" collapsed="false">
      <c r="B38" s="84" t="s">
        <v>303</v>
      </c>
      <c r="C38" s="88" t="s">
        <v>274</v>
      </c>
      <c r="D38" s="205" t="n">
        <f aca="false">'INSERÇÃO-DE-DADOS_PRODUTIVIDADE'!F9</f>
        <v>411.17</v>
      </c>
      <c r="E38" s="206" t="n">
        <f aca="false">F12</f>
        <v>4.0182340363632</v>
      </c>
      <c r="F38" s="207" t="n">
        <f aca="false">D38*E38</f>
        <v>1652.17728873146</v>
      </c>
    </row>
    <row r="39" s="166" customFormat="true" ht="19.3" hidden="false" customHeight="true" outlineLevel="0" collapsed="false">
      <c r="B39" s="84"/>
      <c r="C39" s="88" t="s">
        <v>277</v>
      </c>
      <c r="D39" s="205" t="n">
        <f aca="false">'INSERÇÃO-DE-DADOS_PRODUTIVIDADE'!F10</f>
        <v>0</v>
      </c>
      <c r="E39" s="206" t="n">
        <f aca="false">F13</f>
        <v>2.14305815272704</v>
      </c>
      <c r="F39" s="207" t="n">
        <f aca="false">D39*E39</f>
        <v>0</v>
      </c>
    </row>
    <row r="40" s="166" customFormat="true" ht="19.3" hidden="false" customHeight="true" outlineLevel="0" collapsed="false">
      <c r="B40" s="84"/>
      <c r="C40" s="88" t="s">
        <v>279</v>
      </c>
      <c r="D40" s="205" t="n">
        <f aca="false">'INSERÇÃO-DE-DADOS_PRODUTIVIDADE'!F11</f>
        <v>23.09</v>
      </c>
      <c r="E40" s="206" t="n">
        <f aca="false">F14</f>
        <v>16.0729361454528</v>
      </c>
      <c r="F40" s="207" t="n">
        <f aca="false">D40*E40</f>
        <v>371.124095598505</v>
      </c>
    </row>
    <row r="41" s="166" customFormat="true" ht="19.3" hidden="false" customHeight="true" outlineLevel="0" collapsed="false">
      <c r="B41" s="84" t="s">
        <v>304</v>
      </c>
      <c r="C41" s="88" t="s">
        <v>282</v>
      </c>
      <c r="D41" s="205" t="n">
        <f aca="false">'INSERÇÃO-DE-DADOS_PRODUTIVIDADE'!F12</f>
        <v>296.19</v>
      </c>
      <c r="E41" s="205" t="n">
        <f aca="false">F20</f>
        <v>1.7858817939392</v>
      </c>
      <c r="F41" s="207" t="n">
        <f aca="false">D41*E41</f>
        <v>528.960328546851</v>
      </c>
    </row>
    <row r="42" s="166" customFormat="true" ht="49.15" hidden="false" customHeight="true" outlineLevel="0" collapsed="false">
      <c r="B42" s="84"/>
      <c r="C42" s="88" t="s">
        <v>284</v>
      </c>
      <c r="D42" s="205" t="n">
        <f aca="false">'INSERÇÃO-DE-DADOS_PRODUTIVIDADE'!F13</f>
        <v>279.4</v>
      </c>
      <c r="E42" s="205" t="n">
        <f aca="false">F21</f>
        <v>0.535764538181761</v>
      </c>
      <c r="F42" s="207" t="n">
        <f aca="false">D42*E42</f>
        <v>149.692611967984</v>
      </c>
    </row>
    <row r="43" s="166" customFormat="true" ht="19.3" hidden="false" customHeight="true" outlineLevel="0" collapsed="false">
      <c r="B43" s="84"/>
      <c r="C43" s="88" t="s">
        <v>286</v>
      </c>
      <c r="D43" s="205" t="n">
        <f aca="false">'INSERÇÃO-DE-DADOS_PRODUTIVIDADE'!F14</f>
        <v>220.6</v>
      </c>
      <c r="E43" s="205" t="n">
        <f aca="false">F22</f>
        <v>1.7858817939392</v>
      </c>
      <c r="F43" s="207" t="n">
        <f aca="false">D43*E43</f>
        <v>393.965523742987</v>
      </c>
    </row>
    <row r="44" s="166" customFormat="true" ht="19.3" hidden="false" customHeight="true" outlineLevel="0" collapsed="false">
      <c r="B44" s="84" t="s">
        <v>305</v>
      </c>
      <c r="C44" s="88" t="s">
        <v>293</v>
      </c>
      <c r="D44" s="205" t="n">
        <f aca="false">'INSERÇÃO-DE-DADOS_PRODUTIVIDADE'!F15</f>
        <v>72.68</v>
      </c>
      <c r="E44" s="206" t="n">
        <f aca="false">I29</f>
        <v>0.90917618600541</v>
      </c>
      <c r="F44" s="207" t="n">
        <f aca="false">D44*E44</f>
        <v>66.0789251988732</v>
      </c>
    </row>
    <row r="45" s="166" customFormat="true" ht="19.3" hidden="false" customHeight="true" outlineLevel="0" collapsed="false">
      <c r="B45" s="84"/>
      <c r="C45" s="88" t="s">
        <v>294</v>
      </c>
      <c r="D45" s="205" t="n">
        <f aca="false">'INSERÇÃO-DE-DADOS_PRODUTIVIDADE'!F16</f>
        <v>72.68</v>
      </c>
      <c r="E45" s="206" t="n">
        <f aca="false">I30</f>
        <v>0.90917618600541</v>
      </c>
      <c r="F45" s="207" t="n">
        <f aca="false">D45*E45</f>
        <v>66.0789251988732</v>
      </c>
    </row>
    <row r="46" s="166" customFormat="true" ht="16.65" hidden="false" customHeight="true" outlineLevel="0" collapsed="false">
      <c r="B46" s="208" t="s">
        <v>314</v>
      </c>
      <c r="C46" s="208"/>
      <c r="D46" s="208"/>
      <c r="E46" s="208"/>
      <c r="F46" s="209" t="n">
        <f aca="false">SUM(F38:F45)</f>
        <v>3228.07769898553</v>
      </c>
    </row>
    <row r="47" customFormat="false" ht="13.8" hidden="false" customHeight="false" outlineLevel="0" collapsed="false">
      <c r="G47" s="166"/>
      <c r="H47" s="166"/>
    </row>
    <row r="48" s="191" customFormat="true" ht="13.5" hidden="false" customHeight="true" outlineLevel="0" collapsed="false">
      <c r="C48" s="210"/>
    </row>
    <row r="49" customFormat="false" ht="13.5" hidden="false" customHeight="true" outlineLevel="0" collapsed="false">
      <c r="I49" s="166"/>
    </row>
    <row r="50" customFormat="false" ht="14.25" hidden="false" customHeight="true" outlineLevel="0" collapsed="false">
      <c r="I50" s="166"/>
    </row>
    <row r="51" customFormat="false" ht="13.8" hidden="false" customHeight="false" outlineLevel="0" collapsed="false">
      <c r="I51" s="166"/>
    </row>
    <row r="52" customFormat="false" ht="13.8" hidden="false" customHeight="false" outlineLevel="0" collapsed="false">
      <c r="I52" s="166"/>
    </row>
    <row r="53" customFormat="false" ht="13.8" hidden="false" customHeight="false" outlineLevel="0" collapsed="false">
      <c r="I53" s="166"/>
    </row>
    <row r="54" customFormat="false" ht="36" hidden="false" customHeight="true" outlineLevel="0" collapsed="false">
      <c r="I54" s="166"/>
    </row>
    <row r="55" customFormat="false" ht="13.8" hidden="false" customHeight="false" outlineLevel="0" collapsed="false">
      <c r="I55" s="166"/>
    </row>
    <row r="56" customFormat="false" ht="49.5" hidden="false" customHeight="true" outlineLevel="0" collapsed="false">
      <c r="I56" s="166"/>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8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sheetPr filterMode="false">
    <pageSetUpPr fitToPage="false"/>
  </sheetPr>
  <dimension ref="B1:N153"/>
  <sheetViews>
    <sheetView showFormulas="false" showGridLines="true" showRowColHeaders="true" showZeros="true" rightToLeft="false" tabSelected="false" showOutlineSymbols="true" defaultGridColor="true" view="normal" topLeftCell="A1" colorId="64" zoomScale="113" zoomScaleNormal="113"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61" width="18.85"/>
    <col collapsed="false" customWidth="true" hidden="false" outlineLevel="0" max="9" min="9" style="161" width="14.86"/>
    <col collapsed="false" customWidth="true" hidden="false" outlineLevel="0" max="10" min="10" style="161" width="12.71"/>
    <col collapsed="false" customWidth="true" hidden="false" outlineLevel="0" max="11" min="11" style="161" width="14.01"/>
    <col collapsed="false" customWidth="true" hidden="false" outlineLevel="0" max="12" min="12" style="162" width="13.7"/>
    <col collapsed="false" customWidth="true" hidden="false" outlineLevel="0" max="13" min="13" style="162" width="9.42"/>
    <col collapsed="false" customWidth="true" hidden="false" outlineLevel="0" max="14" min="14" style="162" width="12.86"/>
    <col collapsed="false" customWidth="true" hidden="false" outlineLevel="0" max="1025" min="15" style="1" width="9.13"/>
  </cols>
  <sheetData>
    <row r="1" s="1" customFormat="true" ht="20.25" hidden="false" customHeight="fals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false" outlineLevel="0" collapsed="false">
      <c r="B3" s="6" t="s">
        <v>315</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262</v>
      </c>
      <c r="D12" s="123"/>
      <c r="E12" s="123"/>
      <c r="F12" s="24" t="n">
        <f aca="false">IF(QTDE_DE_SERV=0,"",QTDE_DE_SERV)</f>
        <v>6</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'INSERÇÃO-DE-DADOS_MÃO DE OBRA'!C21</f>
        <v>Servente Unidades do interior</v>
      </c>
      <c r="E16" s="24"/>
      <c r="F16" s="24"/>
    </row>
    <row r="17" s="3" customFormat="true" ht="15" hidden="false" customHeight="true" outlineLevel="0" collapsed="false">
      <c r="B17" s="17" t="n">
        <v>4</v>
      </c>
      <c r="C17" s="10" t="s">
        <v>45</v>
      </c>
      <c r="D17" s="10"/>
      <c r="E17" s="10"/>
      <c r="F17" s="163"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SALARIO_NORMATIVO_SERV</f>
        <v>1032</v>
      </c>
    </row>
    <row r="22" s="1" customFormat="true" ht="16.5" hidden="false" customHeight="true" outlineLevel="0" collapsed="false">
      <c r="B22" s="19" t="s">
        <v>17</v>
      </c>
      <c r="C22" s="23" t="s">
        <v>246</v>
      </c>
      <c r="D22" s="23"/>
      <c r="E22" s="23"/>
      <c r="F22" s="133" t="n">
        <f aca="false">IF(ADIC_INSALUB_SERV="SIM",PERC_ADIC_INSALUB%*SAL_MINIMO,0)</f>
        <v>0</v>
      </c>
    </row>
    <row r="23" customFormat="false" ht="16.4" hidden="false" customHeight="false" outlineLevel="0" collapsed="false">
      <c r="B23" s="19" t="s">
        <v>19</v>
      </c>
      <c r="C23" s="65" t="str">
        <f aca="false">OUTROS_REMUNERACAO_1_DESCRICAO</f>
        <v>Gratificação de função (Apenas para encarregada)</v>
      </c>
      <c r="D23" s="65"/>
      <c r="E23" s="65"/>
      <c r="F23" s="132" t="n">
        <f aca="false">OUTROS_REMUNERACAO_1-'INSERÇÃO-DE-DADOS_MÃO DE OBRA'!F33</f>
        <v>0</v>
      </c>
    </row>
    <row r="24" customFormat="false" ht="15.75" hidden="false" customHeight="true" outlineLevel="0" collapsed="false">
      <c r="B24" s="19" t="s">
        <v>22</v>
      </c>
      <c r="C24" s="48" t="str">
        <f aca="false">OUTROS_REMUNERACAO_2_DESCRICAO</f>
        <v>Outras Remunerações 2 (Especificar)</v>
      </c>
      <c r="D24" s="48"/>
      <c r="E24" s="48"/>
      <c r="F24" s="133" t="n">
        <f aca="false">OUTROS_REMUNERACAO_2</f>
        <v>0</v>
      </c>
    </row>
    <row r="25" customFormat="false" ht="15.75" hidden="false" customHeight="true" outlineLevel="0" collapsed="false">
      <c r="B25" s="19" t="s">
        <v>25</v>
      </c>
      <c r="C25" s="65" t="str">
        <f aca="false">OUTROS_REMUNERACAO_3_DESCRICAO</f>
        <v>Outras Remunerações 3 (Especificar)</v>
      </c>
      <c r="D25" s="65"/>
      <c r="E25" s="65"/>
      <c r="F25" s="132" t="n">
        <f aca="false">OUTROS_REMUNERACAO_3</f>
        <v>0</v>
      </c>
    </row>
    <row r="26" customFormat="false" ht="15.75" hidden="false" customHeight="true" outlineLevel="0" collapsed="false">
      <c r="B26" s="46" t="s">
        <v>215</v>
      </c>
      <c r="C26" s="46"/>
      <c r="D26" s="46"/>
      <c r="E26" s="46"/>
      <c r="F26" s="134" t="n">
        <f aca="false">SUM(F21:F25)</f>
        <v>1032</v>
      </c>
      <c r="L26" s="161"/>
      <c r="M26" s="161"/>
    </row>
    <row r="27" customFormat="false" ht="16.5" hidden="false" customHeight="false" outlineLevel="0" collapsed="false">
      <c r="B27" s="44" t="s">
        <v>55</v>
      </c>
      <c r="E27" s="53"/>
      <c r="F27" s="53"/>
      <c r="L27" s="161"/>
      <c r="M27" s="161"/>
    </row>
    <row r="28" customFormat="false" ht="16.5" hidden="false" customHeight="false" outlineLevel="0" collapsed="false">
      <c r="B28" s="44" t="s">
        <v>196</v>
      </c>
      <c r="C28" s="59"/>
      <c r="D28" s="60"/>
      <c r="E28" s="61"/>
      <c r="F28" s="61"/>
      <c r="L28" s="161"/>
      <c r="M28" s="161"/>
      <c r="N28" s="164"/>
    </row>
    <row r="29" customFormat="false" ht="16.5" hidden="false" customHeight="false" outlineLevel="0" collapsed="false">
      <c r="B29" s="19" t="s">
        <v>197</v>
      </c>
      <c r="C29" s="64" t="s">
        <v>198</v>
      </c>
      <c r="D29" s="64"/>
      <c r="E29" s="47" t="s">
        <v>86</v>
      </c>
      <c r="F29" s="47" t="s">
        <v>98</v>
      </c>
      <c r="L29" s="161"/>
      <c r="M29" s="161"/>
      <c r="N29" s="164"/>
    </row>
    <row r="30" customFormat="false" ht="16.5" hidden="false" customHeight="true" outlineLevel="0" collapsed="false">
      <c r="B30" s="19" t="s">
        <v>14</v>
      </c>
      <c r="C30" s="71" t="s">
        <v>200</v>
      </c>
      <c r="D30" s="71"/>
      <c r="E30" s="104" t="n">
        <f aca="false">PERC_DEC_TERC</f>
        <v>8.33333333333333</v>
      </c>
      <c r="F30" s="100" t="n">
        <f aca="false">PERC_DEC_TERC%*MOD_1_REMUNERACAO_SERV</f>
        <v>86</v>
      </c>
      <c r="L30" s="161"/>
      <c r="M30" s="161"/>
      <c r="N30" s="164"/>
    </row>
    <row r="31" customFormat="false" ht="16.5" hidden="false" customHeight="true" outlineLevel="0" collapsed="false">
      <c r="B31" s="47" t="s">
        <v>17</v>
      </c>
      <c r="C31" s="23" t="s">
        <v>202</v>
      </c>
      <c r="D31" s="23"/>
      <c r="E31" s="106" t="n">
        <f aca="false">PERC_ADIC_FERIAS</f>
        <v>2.77777777777778</v>
      </c>
      <c r="F31" s="102" t="n">
        <f aca="false">PERC_ADIC_FERIAS%*MOD_1_REMUNERACAO_SERV</f>
        <v>28.6666666666667</v>
      </c>
      <c r="L31" s="161"/>
      <c r="M31" s="161"/>
      <c r="N31" s="164"/>
    </row>
    <row r="32" customFormat="false" ht="16.5" hidden="false" customHeight="false" outlineLevel="0" collapsed="false">
      <c r="B32" s="64" t="s">
        <v>215</v>
      </c>
      <c r="C32" s="64"/>
      <c r="D32" s="64"/>
      <c r="E32" s="64"/>
      <c r="F32" s="135" t="n">
        <f aca="false">SUM(F30:F31)</f>
        <v>114.666666666667</v>
      </c>
      <c r="L32" s="161"/>
      <c r="M32" s="161"/>
    </row>
    <row r="33" customFormat="false" ht="31.6" hidden="false" customHeight="true" outlineLevel="0" collapsed="false">
      <c r="B33" s="136" t="s">
        <v>204</v>
      </c>
      <c r="C33" s="136"/>
      <c r="D33" s="136"/>
      <c r="E33" s="136"/>
      <c r="F33" s="136"/>
      <c r="L33" s="161"/>
      <c r="M33" s="161"/>
    </row>
    <row r="34" customFormat="false" ht="31.6" hidden="false" customHeight="true" outlineLevel="0" collapsed="false">
      <c r="B34" s="19" t="s">
        <v>205</v>
      </c>
      <c r="C34" s="108" t="s">
        <v>206</v>
      </c>
      <c r="D34" s="108"/>
      <c r="E34" s="47" t="s">
        <v>86</v>
      </c>
      <c r="F34" s="47" t="s">
        <v>98</v>
      </c>
      <c r="L34" s="161"/>
      <c r="M34" s="161"/>
    </row>
    <row r="35" s="105" customFormat="true" ht="16.5" hidden="false" customHeight="true" outlineLevel="0" collapsed="false">
      <c r="B35" s="19" t="s">
        <v>14</v>
      </c>
      <c r="C35" s="71" t="s">
        <v>207</v>
      </c>
      <c r="D35" s="71"/>
      <c r="E35" s="104" t="n">
        <f aca="false">PERC_INSS</f>
        <v>20</v>
      </c>
      <c r="F35" s="100" t="n">
        <f aca="false">PERC_INSS%*(MOD_1_REMUNERACAO_SERV+SUBMOD_2_1_DEC_TERC_ADIC_FERIAS_SERV)</f>
        <v>229.333333333333</v>
      </c>
      <c r="H35" s="161"/>
      <c r="I35" s="161"/>
      <c r="J35" s="161"/>
      <c r="K35" s="161"/>
      <c r="L35" s="161"/>
      <c r="M35" s="161"/>
      <c r="N35" s="162"/>
    </row>
    <row r="36" s="52" customFormat="true" ht="16.5" hidden="false" customHeight="true" outlineLevel="0" collapsed="false">
      <c r="B36" s="47" t="s">
        <v>17</v>
      </c>
      <c r="C36" s="23" t="s">
        <v>208</v>
      </c>
      <c r="D36" s="23"/>
      <c r="E36" s="109" t="n">
        <f aca="false">PERC_SAL_EDUCACAO</f>
        <v>2.5</v>
      </c>
      <c r="F36" s="102" t="n">
        <f aca="false">PERC_SAL_EDUCACAO%*(MOD_1_REMUNERACAO_SERV+SUBMOD_2_1_DEC_TERC_ADIC_FERIAS_SERV)</f>
        <v>28.6666666666667</v>
      </c>
      <c r="H36" s="161"/>
      <c r="I36" s="161"/>
      <c r="J36" s="161"/>
      <c r="K36" s="161"/>
      <c r="L36" s="161"/>
      <c r="M36" s="161"/>
      <c r="N36" s="162"/>
    </row>
    <row r="37" s="52" customFormat="true" ht="16.5" hidden="false" customHeight="true" outlineLevel="0" collapsed="false">
      <c r="B37" s="47" t="s">
        <v>19</v>
      </c>
      <c r="C37" s="71" t="s">
        <v>209</v>
      </c>
      <c r="D37" s="71"/>
      <c r="E37" s="104" t="n">
        <f aca="false">PERC_RAT</f>
        <v>3</v>
      </c>
      <c r="F37" s="100" t="n">
        <f aca="false">PERC_RAT%*(MOD_1_REMUNERACAO_SERV+SUBMOD_2_1_DEC_TERC_ADIC_FERIAS_SERV)</f>
        <v>34.4</v>
      </c>
      <c r="H37" s="161"/>
      <c r="I37" s="161"/>
      <c r="J37" s="161"/>
      <c r="K37" s="161"/>
      <c r="L37" s="161"/>
      <c r="M37" s="161"/>
      <c r="N37" s="162"/>
    </row>
    <row r="38" s="52" customFormat="true" ht="16.5" hidden="false" customHeight="true" outlineLevel="0" collapsed="false">
      <c r="B38" s="47" t="s">
        <v>22</v>
      </c>
      <c r="C38" s="23" t="s">
        <v>210</v>
      </c>
      <c r="D38" s="23"/>
      <c r="E38" s="106" t="n">
        <f aca="false">PERC_SESC</f>
        <v>1.5</v>
      </c>
      <c r="F38" s="102" t="n">
        <f aca="false">PERC_SESC%*(MOD_1_REMUNERACAO_SERV+SUBMOD_2_1_DEC_TERC_ADIC_FERIAS_SERV)</f>
        <v>17.2</v>
      </c>
      <c r="H38" s="161"/>
      <c r="I38" s="161"/>
      <c r="J38" s="161"/>
      <c r="K38" s="161"/>
      <c r="L38" s="161"/>
      <c r="M38" s="161"/>
      <c r="N38" s="162"/>
    </row>
    <row r="39" customFormat="false" ht="16.5" hidden="false" customHeight="true" outlineLevel="0" collapsed="false">
      <c r="B39" s="47" t="s">
        <v>25</v>
      </c>
      <c r="C39" s="71" t="s">
        <v>211</v>
      </c>
      <c r="D39" s="71"/>
      <c r="E39" s="104" t="n">
        <f aca="false">PERC_SENAC</f>
        <v>1</v>
      </c>
      <c r="F39" s="100" t="n">
        <f aca="false">PERC_SENAC%*(MOD_1_REMUNERACAO_SERV+SUBMOD_2_1_DEC_TERC_ADIC_FERIAS_SERV)</f>
        <v>11.4666666666667</v>
      </c>
      <c r="L39" s="161"/>
      <c r="M39" s="161"/>
    </row>
    <row r="40" s="3" customFormat="true" ht="16.5" hidden="false" customHeight="true" outlineLevel="0" collapsed="false">
      <c r="B40" s="47" t="s">
        <v>80</v>
      </c>
      <c r="C40" s="23" t="s">
        <v>212</v>
      </c>
      <c r="D40" s="23"/>
      <c r="E40" s="109" t="n">
        <f aca="false">PERC_SEBRAE</f>
        <v>0.6</v>
      </c>
      <c r="F40" s="102" t="n">
        <f aca="false">PERC_SEBRAE%*(MOD_1_REMUNERACAO_SERV+SUBMOD_2_1_DEC_TERC_ADIC_FERIAS_SERV)</f>
        <v>6.88</v>
      </c>
      <c r="H40" s="162"/>
      <c r="I40" s="162"/>
      <c r="J40" s="162"/>
      <c r="K40" s="162"/>
      <c r="L40" s="162"/>
      <c r="M40" s="162"/>
      <c r="N40" s="162"/>
    </row>
    <row r="41" s="3" customFormat="true" ht="16.5" hidden="false" customHeight="true" outlineLevel="0" collapsed="false">
      <c r="B41" s="47" t="s">
        <v>170</v>
      </c>
      <c r="C41" s="71" t="s">
        <v>213</v>
      </c>
      <c r="D41" s="71"/>
      <c r="E41" s="104" t="n">
        <f aca="false">PERC_INCRA</f>
        <v>0.2</v>
      </c>
      <c r="F41" s="100" t="n">
        <f aca="false">PERC_INCRA%*(MOD_1_REMUNERACAO_SERV+SUBMOD_2_1_DEC_TERC_ADIC_FERIAS_SERV)</f>
        <v>2.29333333333333</v>
      </c>
      <c r="H41" s="162"/>
      <c r="I41" s="162"/>
      <c r="J41" s="162"/>
      <c r="K41" s="162"/>
      <c r="L41" s="162"/>
      <c r="M41" s="162"/>
      <c r="N41" s="162"/>
    </row>
    <row r="42" s="3" customFormat="true" ht="16.5" hidden="false" customHeight="true" outlineLevel="0" collapsed="false">
      <c r="B42" s="47" t="s">
        <v>172</v>
      </c>
      <c r="C42" s="23" t="s">
        <v>214</v>
      </c>
      <c r="D42" s="23"/>
      <c r="E42" s="109" t="n">
        <f aca="false">PERC_FGTS</f>
        <v>8</v>
      </c>
      <c r="F42" s="102" t="n">
        <f aca="false">PERC_FGTS%*(MOD_1_REMUNERACAO_SERV+SUBMOD_2_1_DEC_TERC_ADIC_FERIAS_SERV)</f>
        <v>91.7333333333333</v>
      </c>
      <c r="H42" s="162"/>
      <c r="I42" s="162"/>
      <c r="J42" s="162"/>
      <c r="K42" s="162"/>
      <c r="L42" s="162"/>
      <c r="M42" s="162"/>
      <c r="N42" s="162"/>
    </row>
    <row r="43" s="3" customFormat="true" ht="16.5" hidden="false" customHeight="false" outlineLevel="0" collapsed="false">
      <c r="B43" s="64" t="s">
        <v>215</v>
      </c>
      <c r="C43" s="64"/>
      <c r="D43" s="64"/>
      <c r="E43" s="64"/>
      <c r="F43" s="137" t="n">
        <f aca="false">SUM(F35:F42)</f>
        <v>421.973333333333</v>
      </c>
      <c r="H43" s="162"/>
      <c r="I43" s="162"/>
      <c r="J43" s="162"/>
      <c r="K43" s="162"/>
      <c r="L43" s="162"/>
      <c r="M43" s="162"/>
      <c r="N43" s="162"/>
    </row>
    <row r="44" s="13" customFormat="true" ht="16.5" hidden="false" customHeight="false" outlineLevel="0" collapsed="false">
      <c r="B44" s="44" t="s">
        <v>56</v>
      </c>
      <c r="H44" s="162"/>
      <c r="I44" s="162"/>
      <c r="J44" s="162"/>
      <c r="K44" s="162"/>
      <c r="L44" s="162"/>
      <c r="M44" s="162"/>
      <c r="N44" s="162"/>
    </row>
    <row r="45" s="13" customFormat="true" ht="16.5" hidden="false" customHeight="true" outlineLevel="0" collapsed="false">
      <c r="B45" s="19" t="s">
        <v>57</v>
      </c>
      <c r="C45" s="46" t="s">
        <v>58</v>
      </c>
      <c r="D45" s="46"/>
      <c r="E45" s="46"/>
      <c r="F45" s="47" t="s">
        <v>98</v>
      </c>
      <c r="H45" s="165"/>
      <c r="I45" s="165"/>
      <c r="J45" s="165"/>
      <c r="K45" s="165"/>
      <c r="L45" s="165"/>
      <c r="M45" s="165"/>
      <c r="N45" s="165"/>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IF(DIAS_TRABALHADOS_NO_MES=15,(TRANSPORTE_POR_DIA*DIAS_TRABALHADOS_NO_MES)-(PERC_DESC_TRANSP_REMUNERACAO%*(AL_1_A_SAL_BASE_SERV/2)),IF(DIAS_TRABALHADOS_NO_MES=22,('INSERÇÃO-DE-DADOS_MÃO DE OBRA'!F44*DIAS_TRABALHADOS_NO_MES)-(PERC_DESC_TRANSP_REMUNERACAO%*(AL_1_A_SAL_BASE_SERV))))</f>
        <v>100.88</v>
      </c>
      <c r="H46" s="165"/>
      <c r="I46" s="165"/>
      <c r="J46" s="165"/>
      <c r="K46" s="165"/>
      <c r="L46" s="165"/>
      <c r="M46" s="165"/>
      <c r="N46" s="165"/>
    </row>
    <row r="47" customFormat="false" ht="16.5" hidden="false" customHeight="true" outlineLevel="0" collapsed="false">
      <c r="B47" s="17" t="s">
        <v>17</v>
      </c>
      <c r="C47" s="23" t="s">
        <v>75</v>
      </c>
      <c r="D47" s="23"/>
      <c r="E47" s="23"/>
      <c r="F47" s="102" t="n">
        <f aca="false">ALIMENTACAO_POR_DIA*DIAS_TRABALHADOS_NO_MES</f>
        <v>220</v>
      </c>
      <c r="H47" s="165"/>
      <c r="I47" s="165"/>
      <c r="J47" s="165"/>
      <c r="K47" s="165"/>
      <c r="L47" s="165"/>
      <c r="M47" s="165"/>
      <c r="N47" s="165"/>
    </row>
    <row r="48" customFormat="false" ht="15.75" hidden="false" customHeight="true" outlineLevel="0" collapsed="false">
      <c r="B48" s="17" t="s">
        <v>19</v>
      </c>
      <c r="C48" s="65" t="str">
        <f aca="false">OUTROS_BENEFICIOS_1_DESCRICAO</f>
        <v>Seguro de vida em grupo</v>
      </c>
      <c r="D48" s="65"/>
      <c r="E48" s="65"/>
      <c r="F48" s="100" t="n">
        <f aca="false">OUTROS_BENEFICIOS_1</f>
        <v>6</v>
      </c>
      <c r="H48" s="165"/>
      <c r="I48" s="165"/>
      <c r="J48" s="165"/>
      <c r="K48" s="165"/>
      <c r="L48" s="165"/>
      <c r="M48" s="165"/>
      <c r="N48" s="165"/>
    </row>
    <row r="49" customFormat="false" ht="15.75" hidden="false" customHeight="true" outlineLevel="0" collapsed="false">
      <c r="B49" s="17" t="s">
        <v>22</v>
      </c>
      <c r="C49" s="48" t="str">
        <f aca="false">OUTROS_BENEFICIOS_2_DESCRICAO</f>
        <v>Assistência social familiar</v>
      </c>
      <c r="D49" s="48"/>
      <c r="E49" s="48"/>
      <c r="F49" s="102" t="n">
        <f aca="false">OUTROS_BENEFICIOS_2</f>
        <v>9.7</v>
      </c>
      <c r="L49" s="161"/>
      <c r="M49" s="161"/>
      <c r="N49" s="166"/>
    </row>
    <row r="50" customFormat="false" ht="16.5" hidden="false" customHeight="false" outlineLevel="0" collapsed="false">
      <c r="B50" s="17" t="s">
        <v>25</v>
      </c>
      <c r="C50" s="65" t="str">
        <f aca="false">OUTROS_BENEFICIOS_3_DESCRICAO</f>
        <v>Assistência e inclusão social</v>
      </c>
      <c r="D50" s="65"/>
      <c r="E50" s="65"/>
      <c r="F50" s="100" t="n">
        <f aca="false">OUTROS_BENEFICIOS_3</f>
        <v>4</v>
      </c>
      <c r="L50" s="161"/>
      <c r="M50" s="161"/>
      <c r="N50" s="166"/>
    </row>
    <row r="51" s="52" customFormat="true" ht="16.5" hidden="false" customHeight="true" outlineLevel="0" collapsed="false">
      <c r="B51" s="46" t="s">
        <v>215</v>
      </c>
      <c r="C51" s="46"/>
      <c r="D51" s="46"/>
      <c r="E51" s="46"/>
      <c r="F51" s="134" t="n">
        <f aca="false">SUM(F46:F50)</f>
        <v>340.58</v>
      </c>
      <c r="H51" s="161"/>
      <c r="I51" s="161"/>
      <c r="J51" s="161"/>
      <c r="K51" s="161"/>
      <c r="L51" s="161"/>
      <c r="M51" s="161"/>
      <c r="N51" s="166"/>
    </row>
    <row r="52" s="52" customFormat="true" ht="16.5" hidden="false" customHeight="false" outlineLevel="0" collapsed="false">
      <c r="B52" s="44" t="s">
        <v>176</v>
      </c>
      <c r="C52" s="59"/>
      <c r="D52" s="60"/>
      <c r="E52" s="61"/>
      <c r="F52" s="61"/>
      <c r="H52" s="161"/>
      <c r="I52" s="161"/>
      <c r="J52" s="161"/>
      <c r="K52" s="161"/>
      <c r="L52" s="161"/>
      <c r="M52" s="161"/>
      <c r="N52" s="162"/>
    </row>
    <row r="53" s="52" customFormat="true" ht="16.5" hidden="false" customHeight="false" outlineLevel="0" collapsed="false">
      <c r="B53" s="19" t="n">
        <v>3</v>
      </c>
      <c r="C53" s="64" t="s">
        <v>177</v>
      </c>
      <c r="D53" s="64"/>
      <c r="E53" s="47" t="s">
        <v>86</v>
      </c>
      <c r="F53" s="47" t="s">
        <v>98</v>
      </c>
      <c r="H53" s="161"/>
      <c r="I53" s="161"/>
      <c r="J53" s="161"/>
      <c r="K53" s="161"/>
      <c r="L53" s="161"/>
      <c r="M53" s="161"/>
      <c r="N53" s="162"/>
    </row>
    <row r="54" s="52" customFormat="true" ht="16.5" hidden="false" customHeight="false" outlineLevel="0" collapsed="false">
      <c r="B54" s="19" t="s">
        <v>14</v>
      </c>
      <c r="C54" s="111" t="s">
        <v>216</v>
      </c>
      <c r="D54" s="111"/>
      <c r="E54" s="104" t="n">
        <f aca="false">PERC_AVISO_PREVIO_IND</f>
        <v>0.26011</v>
      </c>
      <c r="F54" s="100" t="n">
        <f aca="false">PERC_AVISO_PREVIO_IND%*(MOD_1_REMUNERACAO_SERV+SUBMOD_2_1_DEC_TERC_ADIC_FERIAS_SERV+AL_2_2_FGTS_SERV+SUBMOD_2_3_BENEFICIOS_SERV)</f>
        <v>4.107084878</v>
      </c>
      <c r="H54" s="161"/>
      <c r="I54" s="161"/>
      <c r="J54" s="161"/>
      <c r="K54" s="161"/>
      <c r="L54" s="161"/>
      <c r="M54" s="161"/>
      <c r="N54" s="162"/>
    </row>
    <row r="55" s="52" customFormat="true" ht="15" hidden="false" customHeight="true" outlineLevel="0" collapsed="false">
      <c r="B55" s="47" t="s">
        <v>17</v>
      </c>
      <c r="C55" s="112" t="s">
        <v>218</v>
      </c>
      <c r="D55" s="112"/>
      <c r="E55" s="109" t="n">
        <f aca="false">PERC_FGTS_AVISO_PREV_IND</f>
        <v>0.0208088</v>
      </c>
      <c r="F55" s="102" t="n">
        <f aca="false">PERC_FGTS_AVISO_PREV_IND%*(MOD_1_REMUNERACAO_SERV+SUBMOD_2_1_DEC_TERC_ADIC_FERIAS_SERV)</f>
        <v>0.238607573333333</v>
      </c>
      <c r="H55" s="161"/>
      <c r="I55" s="161"/>
      <c r="J55" s="161"/>
      <c r="K55" s="161"/>
      <c r="L55" s="161"/>
      <c r="M55" s="161"/>
      <c r="N55" s="166"/>
    </row>
    <row r="56" s="52" customFormat="true" ht="31.5" hidden="false" customHeight="true" outlineLevel="0" collapsed="false">
      <c r="B56" s="47" t="s">
        <v>19</v>
      </c>
      <c r="C56" s="111" t="s">
        <v>220</v>
      </c>
      <c r="D56" s="111"/>
      <c r="E56" s="104" t="n">
        <f aca="false">PERC_MULTA_FGTS_AV_PREV_IND</f>
        <v>0.0104044</v>
      </c>
      <c r="F56" s="100" t="n">
        <f aca="false">PERC_MULTA_FGTS_AV_PREV_IND%*(MOD_1_REMUNERACAO_SERV+SUBMOD_2_1_DEC_TERC_ADIC_FERIAS_SERV)</f>
        <v>0.119303786666667</v>
      </c>
      <c r="H56" s="161"/>
      <c r="I56" s="161"/>
      <c r="J56" s="161"/>
      <c r="K56" s="161"/>
      <c r="L56" s="161"/>
      <c r="M56" s="161"/>
      <c r="N56" s="162"/>
    </row>
    <row r="57" s="52" customFormat="true" ht="15" hidden="false" customHeight="true" outlineLevel="0" collapsed="false">
      <c r="B57" s="47" t="s">
        <v>22</v>
      </c>
      <c r="C57" s="112" t="s">
        <v>222</v>
      </c>
      <c r="D57" s="112"/>
      <c r="E57" s="109" t="n">
        <f aca="false">PERC_AVISO_PREVIO_TRAB</f>
        <v>1.03286322222222</v>
      </c>
      <c r="F57" s="102" t="n">
        <f aca="false">PERC_AVISO_PREVIO_TRAB%*(MOD_1_REMUNERACAO_SERV+SUBMOD_2_1_DEC_TERC_ADIC_FERIAS_SERV+SUBMOD_2_2_GPS_FGTS_SERV+SUBMOD_2_3_BENEFICIOS_SERV)</f>
        <v>19.7196312113111</v>
      </c>
      <c r="H57" s="161"/>
      <c r="I57" s="161"/>
      <c r="J57" s="161"/>
      <c r="K57" s="161"/>
      <c r="L57" s="161"/>
      <c r="M57" s="161"/>
      <c r="N57" s="162"/>
    </row>
    <row r="58" s="52" customFormat="true" ht="33.75" hidden="false" customHeight="true" outlineLevel="0" collapsed="false">
      <c r="B58" s="47" t="s">
        <v>25</v>
      </c>
      <c r="C58" s="111" t="s">
        <v>224</v>
      </c>
      <c r="D58" s="111"/>
      <c r="E58" s="104" t="n">
        <f aca="false">PERC_GPS_FGTS_AVISO_PREVIO_TRAB</f>
        <v>0.380093665777778</v>
      </c>
      <c r="F58" s="100" t="n">
        <f aca="false">PERC_GPS_FGTS_AVISO_PREVIO_TRAB%*(MOD_1_REMUNERACAO_SERV+SUBMOD_2_1_DEC_TERC_ADIC_FERIAS_SERV)</f>
        <v>4.35840736758519</v>
      </c>
      <c r="H58" s="161"/>
      <c r="I58" s="161"/>
      <c r="J58" s="161"/>
      <c r="K58" s="161"/>
      <c r="L58" s="161"/>
      <c r="M58" s="161"/>
      <c r="N58" s="167"/>
    </row>
    <row r="59" s="52" customFormat="true" ht="32.25" hidden="false" customHeight="true" outlineLevel="0" collapsed="false">
      <c r="B59" s="47" t="s">
        <v>80</v>
      </c>
      <c r="C59" s="112" t="s">
        <v>226</v>
      </c>
      <c r="D59" s="112"/>
      <c r="E59" s="109" t="n">
        <f aca="false">PERC_MULTA_FGTS_AV_PREV_TRAB</f>
        <v>0.05</v>
      </c>
      <c r="F59" s="102" t="n">
        <f aca="false">PERC_MULTA_FGTS_AV_PREV_TRAB%*(MOD_1_REMUNERACAO_SERV+SUBMOD_2_1_DEC_TERC_ADIC_FERIAS_SERV)</f>
        <v>0.573333333333333</v>
      </c>
      <c r="H59" s="161"/>
      <c r="I59" s="161"/>
      <c r="J59" s="161"/>
      <c r="K59" s="161"/>
      <c r="L59" s="161"/>
      <c r="M59" s="161"/>
      <c r="N59" s="162"/>
    </row>
    <row r="60" s="3" customFormat="true" ht="16.5" hidden="false" customHeight="false" outlineLevel="0" collapsed="false">
      <c r="B60" s="64" t="s">
        <v>215</v>
      </c>
      <c r="C60" s="64"/>
      <c r="D60" s="64"/>
      <c r="E60" s="64"/>
      <c r="F60" s="135" t="n">
        <f aca="false">SUM(F54:F59)</f>
        <v>29.1163681502296</v>
      </c>
      <c r="H60" s="161"/>
      <c r="I60" s="161"/>
      <c r="J60" s="161"/>
      <c r="K60" s="161"/>
      <c r="L60" s="161"/>
      <c r="M60" s="161"/>
      <c r="N60" s="162"/>
    </row>
    <row r="61" s="3" customFormat="true" ht="16.5" hidden="false" customHeight="false" outlineLevel="0" collapsed="false">
      <c r="B61" s="44" t="s">
        <v>82</v>
      </c>
      <c r="C61" s="59"/>
      <c r="D61" s="60"/>
      <c r="E61" s="1"/>
      <c r="F61" s="1"/>
      <c r="H61" s="161"/>
      <c r="I61" s="161"/>
      <c r="J61" s="161"/>
      <c r="K61" s="161"/>
      <c r="L61" s="161"/>
      <c r="M61" s="161"/>
      <c r="N61" s="162"/>
    </row>
    <row r="62" s="3" customFormat="true" ht="16.5" hidden="false" customHeight="false" outlineLevel="0" collapsed="false">
      <c r="B62" s="44" t="s">
        <v>83</v>
      </c>
      <c r="C62" s="59"/>
      <c r="D62" s="60"/>
      <c r="E62" s="61"/>
      <c r="F62" s="61"/>
      <c r="H62" s="168"/>
      <c r="I62" s="168"/>
      <c r="J62" s="168"/>
      <c r="K62" s="168"/>
      <c r="L62" s="161"/>
      <c r="M62" s="161"/>
      <c r="N62" s="162"/>
    </row>
    <row r="63" s="3" customFormat="true" ht="16.5" hidden="false" customHeight="true" outlineLevel="0" collapsed="false">
      <c r="B63" s="19" t="s">
        <v>84</v>
      </c>
      <c r="C63" s="46" t="s">
        <v>85</v>
      </c>
      <c r="D63" s="46"/>
      <c r="E63" s="47" t="s">
        <v>86</v>
      </c>
      <c r="F63" s="47" t="s">
        <v>98</v>
      </c>
      <c r="H63" s="168"/>
      <c r="I63" s="168"/>
      <c r="J63" s="168"/>
      <c r="K63" s="168"/>
      <c r="L63" s="161"/>
      <c r="M63" s="161"/>
      <c r="N63" s="162"/>
    </row>
    <row r="64" customFormat="false" ht="16.5" hidden="false" customHeight="true" outlineLevel="0" collapsed="false">
      <c r="B64" s="47" t="s">
        <v>14</v>
      </c>
      <c r="C64" s="71" t="s">
        <v>228</v>
      </c>
      <c r="D64" s="71"/>
      <c r="E64" s="104" t="n">
        <f aca="false">PERC_SUBSTITUTO_FERIAS</f>
        <v>8.33333333333333</v>
      </c>
      <c r="F64" s="100" t="n">
        <f aca="false">PERC_SUBSTITUTO_FERIAS%*(MOD_1_REMUNERACAO_SERV+MOD_2_ENCARGOS_BENEFICIOS_SERV+MOD_3_PROVISAO_RESCISAO_SERV)</f>
        <v>161.528030679186</v>
      </c>
      <c r="H64" s="168"/>
      <c r="I64" s="168"/>
      <c r="J64" s="168"/>
      <c r="K64" s="168"/>
      <c r="L64" s="161"/>
      <c r="M64" s="161"/>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PERC_SUBSTITUTO_AUSENCIAS_LEGAIS%*(MOD_1_REMUNERACAO_SERV+MOD_2_ENCARGOS_BENEFICIOS_SERV+MOD_3_PROVISAO_RESCISAO_SERV)</f>
        <v>43.0741415144495</v>
      </c>
      <c r="H65" s="168"/>
      <c r="I65" s="168"/>
      <c r="J65" s="168"/>
      <c r="K65" s="168"/>
      <c r="L65" s="161"/>
      <c r="M65" s="161"/>
      <c r="N65" s="162"/>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PERC_SUBSTITUTO_LICENCA_PATERNIDADE%*(MOD_1_REMUNERACAO_SERV+MOD_2_ENCARGOS_BENEFICIOS_SERV+MOD_3_PROVISAO_RESCISAO_SERV)</f>
        <v>0.691473501145609</v>
      </c>
      <c r="H66" s="168"/>
      <c r="I66" s="168"/>
      <c r="J66" s="168"/>
      <c r="K66" s="168"/>
      <c r="L66" s="161"/>
      <c r="M66" s="161"/>
      <c r="N66" s="168"/>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PERC_SUBSTITUTO_ACID_TRAB%*(MOD_1_REMUNERACAO_SERV+MOD_2_ENCARGOS_BENEFICIOS_SERV+MOD_3_PROVISAO_RESCISAO_SERV)</f>
        <v>0.359178050292145</v>
      </c>
      <c r="H67" s="168"/>
      <c r="I67" s="168"/>
      <c r="J67" s="168"/>
      <c r="K67" s="168"/>
      <c r="L67" s="161"/>
      <c r="M67" s="161"/>
      <c r="N67" s="168"/>
    </row>
    <row r="68" s="3" customFormat="true" ht="15.95" hidden="false" customHeight="true" outlineLevel="0" collapsed="false">
      <c r="B68" s="47" t="s">
        <v>25</v>
      </c>
      <c r="C68" s="71" t="s">
        <v>236</v>
      </c>
      <c r="D68" s="71"/>
      <c r="E68" s="104" t="n">
        <f aca="false">PERC_SUBSTITUTO_AFAST_MATERN</f>
        <v>0.143129184</v>
      </c>
      <c r="F68" s="100" t="n">
        <f aca="false">PERC_SUBSTITUTO_AFAST_MATERN%*(MOD_1_REMUNERACAO_SERV+MOD_2_ENCARGOS_BENEFICIOS_SERV+MOD_3_PROVISAO_RESCISAO_SERV)</f>
        <v>2.77432502690866</v>
      </c>
      <c r="H68" s="168"/>
      <c r="I68" s="168"/>
      <c r="J68" s="168"/>
      <c r="K68" s="168"/>
      <c r="L68" s="161"/>
      <c r="M68" s="161"/>
      <c r="N68" s="168"/>
    </row>
    <row r="69" s="3" customFormat="true" ht="15.95" hidden="false" customHeight="tru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PERC_SUBSTITUTO_OUTRAS_AUSENCIAS%*(MOD_1_REMUNERACAO_SERV+MOD_2_ENCARGOS_BENEFICIOS_SERV+MOD_3_PROVISAO_RESCISAO_SERV)</f>
        <v>0</v>
      </c>
      <c r="H69" s="168"/>
      <c r="I69" s="168"/>
      <c r="J69" s="168"/>
      <c r="K69" s="168"/>
      <c r="L69" s="161"/>
      <c r="M69" s="161"/>
      <c r="N69" s="168"/>
    </row>
    <row r="70" s="3" customFormat="true" ht="15.95" hidden="false" customHeight="true" outlineLevel="0" collapsed="false">
      <c r="B70" s="64" t="s">
        <v>215</v>
      </c>
      <c r="C70" s="64"/>
      <c r="D70" s="64"/>
      <c r="E70" s="64"/>
      <c r="F70" s="135" t="n">
        <f aca="false">SUM(F64:F69)</f>
        <v>208.427148771982</v>
      </c>
      <c r="H70" s="168"/>
      <c r="I70" s="168"/>
      <c r="J70" s="168"/>
      <c r="K70" s="168"/>
      <c r="L70" s="161"/>
      <c r="M70" s="161"/>
      <c r="N70" s="168"/>
    </row>
    <row r="71" s="3" customFormat="true" ht="16.5" hidden="false" customHeight="false" outlineLevel="0" collapsed="false">
      <c r="B71" s="44" t="s">
        <v>88</v>
      </c>
      <c r="C71" s="59"/>
      <c r="D71" s="60"/>
      <c r="E71" s="61"/>
      <c r="F71" s="61"/>
      <c r="H71" s="168"/>
      <c r="I71" s="168"/>
      <c r="J71" s="168"/>
      <c r="K71" s="168"/>
      <c r="L71" s="161"/>
      <c r="M71" s="161"/>
      <c r="N71" s="168"/>
    </row>
    <row r="72" s="3" customFormat="true" ht="16.5" hidden="false" customHeight="false" outlineLevel="0" collapsed="false">
      <c r="B72" s="19" t="s">
        <v>89</v>
      </c>
      <c r="C72" s="64" t="s">
        <v>90</v>
      </c>
      <c r="D72" s="64"/>
      <c r="E72" s="64"/>
      <c r="F72" s="47" t="s">
        <v>98</v>
      </c>
      <c r="H72" s="168"/>
      <c r="I72" s="168"/>
      <c r="J72" s="168"/>
      <c r="K72" s="168"/>
      <c r="L72" s="161"/>
      <c r="M72" s="161"/>
      <c r="N72" s="168"/>
    </row>
    <row r="73" s="3" customFormat="true" ht="16.5" hidden="false" customHeight="true" outlineLevel="0" collapsed="false">
      <c r="B73" s="19" t="s">
        <v>14</v>
      </c>
      <c r="C73" s="71" t="s">
        <v>247</v>
      </c>
      <c r="D73" s="71"/>
      <c r="E73" s="71"/>
      <c r="F73" s="132" t="n">
        <f aca="false">IF(DIAS_TRABALHADOS_NO_MES=15,((MOD_1_REMUNERACAO_SERV+MOD_2_ENCARGOS_BENEFICIOS_SERV+MOD_3_PROVISAO_RESCISAO_SERV)/DIVISOR_DE_HORAS)*((TEMPO_INTERVALO_REFEICAO/HORA_NORMAL)+PERC_HORA_EXTRA%)*DIAS_TRABALHADOS_NO_MES,0)</f>
        <v>0</v>
      </c>
      <c r="H73" s="168"/>
      <c r="I73" s="168"/>
      <c r="J73" s="168"/>
      <c r="K73" s="168"/>
      <c r="L73" s="161"/>
      <c r="M73" s="161"/>
      <c r="N73" s="168"/>
    </row>
    <row r="74" s="3" customFormat="true" ht="16.5" hidden="false" customHeight="false" outlineLevel="0" collapsed="false">
      <c r="B74" s="64" t="s">
        <v>215</v>
      </c>
      <c r="C74" s="64"/>
      <c r="D74" s="64"/>
      <c r="E74" s="64"/>
      <c r="F74" s="135" t="n">
        <f aca="false">SUM(F73)</f>
        <v>0</v>
      </c>
      <c r="H74" s="168"/>
      <c r="I74" s="168"/>
      <c r="J74" s="168"/>
      <c r="K74" s="168"/>
      <c r="L74" s="161"/>
      <c r="M74" s="161"/>
      <c r="N74" s="168"/>
    </row>
    <row r="75" s="3" customFormat="true" ht="16.5" hidden="false" customHeight="false" outlineLevel="0" collapsed="false">
      <c r="B75" s="44" t="s">
        <v>95</v>
      </c>
      <c r="C75" s="59"/>
      <c r="D75" s="59"/>
      <c r="E75" s="61"/>
      <c r="F75" s="61"/>
      <c r="H75" s="168"/>
      <c r="I75" s="168"/>
      <c r="J75" s="168"/>
      <c r="K75" s="168"/>
      <c r="L75" s="161"/>
      <c r="M75" s="161"/>
      <c r="N75" s="168"/>
    </row>
    <row r="76" s="3" customFormat="true" ht="16.5" hidden="false" customHeight="true" outlineLevel="0" collapsed="false">
      <c r="B76" s="66" t="n">
        <v>5</v>
      </c>
      <c r="C76" s="140" t="s">
        <v>97</v>
      </c>
      <c r="D76" s="140"/>
      <c r="E76" s="140"/>
      <c r="F76" s="141" t="s">
        <v>98</v>
      </c>
      <c r="H76" s="161"/>
      <c r="I76" s="161"/>
      <c r="J76" s="161"/>
      <c r="K76" s="161"/>
      <c r="L76" s="161"/>
      <c r="M76" s="161"/>
      <c r="N76" s="168"/>
    </row>
    <row r="77" s="3" customFormat="true" ht="16.5" hidden="false" customHeight="true" outlineLevel="0" collapsed="false">
      <c r="B77" s="142" t="s">
        <v>14</v>
      </c>
      <c r="C77" s="143" t="s">
        <v>248</v>
      </c>
      <c r="D77" s="143"/>
      <c r="E77" s="143"/>
      <c r="F77" s="144" t="n">
        <f aca="false">UNIFORMES!I14</f>
        <v>33.2241666666667</v>
      </c>
      <c r="H77" s="161"/>
      <c r="I77" s="161"/>
      <c r="J77" s="161"/>
      <c r="K77" s="161"/>
      <c r="L77" s="161"/>
      <c r="M77" s="161"/>
      <c r="N77" s="168"/>
    </row>
    <row r="78" customFormat="false" ht="16.5" hidden="false" customHeight="true" outlineLevel="0" collapsed="false">
      <c r="B78" s="142" t="s">
        <v>17</v>
      </c>
      <c r="C78" s="145" t="s">
        <v>249</v>
      </c>
      <c r="D78" s="145"/>
      <c r="E78" s="145"/>
      <c r="F78" s="146" t="n">
        <f aca="false">'MATERIAIS E EQUIPAMENTOS'!M43+'MATERIAIS E EQUIPAMENTOS'!M72</f>
        <v>458.295902777778</v>
      </c>
      <c r="L78" s="161"/>
      <c r="M78" s="161"/>
      <c r="N78" s="168"/>
    </row>
    <row r="79" customFormat="false" ht="16.5" hidden="false" customHeight="true" outlineLevel="0" collapsed="false">
      <c r="B79" s="142" t="s">
        <v>19</v>
      </c>
      <c r="C79" s="143" t="s">
        <v>250</v>
      </c>
      <c r="D79" s="143"/>
      <c r="E79" s="143"/>
      <c r="F79" s="144" t="n">
        <f aca="false">'MATERIAIS E EQUIPAMENTOS'!M94</f>
        <v>22.6162888888889</v>
      </c>
      <c r="L79" s="161"/>
      <c r="M79" s="161"/>
      <c r="N79" s="168"/>
    </row>
    <row r="80" customFormat="false" ht="15.75" hidden="false" customHeight="true" outlineLevel="0" collapsed="false">
      <c r="B80" s="142" t="s">
        <v>22</v>
      </c>
      <c r="C80" s="147" t="str">
        <f aca="false">'SERVENTE CG'!C80</f>
        <v>Outros Insumos</v>
      </c>
      <c r="D80" s="147"/>
      <c r="E80" s="147"/>
      <c r="F80" s="146"/>
      <c r="L80" s="161"/>
      <c r="M80" s="161"/>
      <c r="N80" s="161"/>
    </row>
    <row r="81" customFormat="false" ht="16.5" hidden="false" customHeight="true" outlineLevel="0" collapsed="false">
      <c r="B81" s="140" t="s">
        <v>215</v>
      </c>
      <c r="C81" s="140"/>
      <c r="D81" s="140"/>
      <c r="E81" s="140"/>
      <c r="F81" s="148" t="n">
        <f aca="false">SUM(F77:F80)</f>
        <v>514.136358333333</v>
      </c>
      <c r="L81" s="161"/>
      <c r="M81" s="161"/>
    </row>
    <row r="82" customFormat="false" ht="16.5" hidden="false" customHeight="true" outlineLevel="0" collapsed="false">
      <c r="B82" s="69" t="s">
        <v>99</v>
      </c>
      <c r="C82" s="69"/>
      <c r="D82" s="69"/>
      <c r="E82" s="69"/>
      <c r="F82" s="69"/>
      <c r="L82" s="161"/>
      <c r="M82" s="161"/>
    </row>
    <row r="83" customFormat="false" ht="16.5" hidden="false" customHeight="false" outlineLevel="0" collapsed="false">
      <c r="B83" s="19" t="n">
        <v>6</v>
      </c>
      <c r="C83" s="64" t="s">
        <v>252</v>
      </c>
      <c r="D83" s="64"/>
      <c r="E83" s="47" t="s">
        <v>86</v>
      </c>
      <c r="F83" s="47" t="s">
        <v>98</v>
      </c>
      <c r="L83" s="161"/>
      <c r="M83" s="161"/>
    </row>
    <row r="84" customFormat="false" ht="16.5" hidden="false" customHeight="true" outlineLevel="0" collapsed="false">
      <c r="B84" s="19" t="s">
        <v>14</v>
      </c>
      <c r="C84" s="71" t="s">
        <v>107</v>
      </c>
      <c r="D84" s="71"/>
      <c r="E84" s="149" t="n">
        <f aca="false">'INSERÇÃO-DE-DADOS_MÃO DE OBRA'!G68</f>
        <v>4.73</v>
      </c>
      <c r="F84" s="100" t="n">
        <f aca="false">E84%*(MOD_1_REMUNERACAO_SERV+MOD_2_ENCARGOS_BENEFICIOS_SERV+MOD_3_PROVISAO_RESCISAO_SERV+MOD_4_CUSTO_REPOSICAO_SERV+MOD_5_INSUMOS_SERV)</f>
        <v>125.860564099587</v>
      </c>
      <c r="L84" s="161"/>
      <c r="M84" s="161"/>
    </row>
    <row r="85" customFormat="false" ht="16.5" hidden="false" customHeight="true" outlineLevel="0" collapsed="false">
      <c r="B85" s="47" t="s">
        <v>17</v>
      </c>
      <c r="C85" s="23" t="s">
        <v>108</v>
      </c>
      <c r="D85" s="23"/>
      <c r="E85" s="150" t="n">
        <f aca="false">'INSERÇÃO-DE-DADOS_MÃO DE OBRA'!G69</f>
        <v>5.57</v>
      </c>
      <c r="F85" s="102" t="n">
        <f aca="false">E85%*(MOD_1_REMUNERACAO_SERV+MOD_2_ENCARGOS_BENEFICIOS_SERV+MOD_3_PROVISAO_RESCISAO_SERV+MOD_4_CUSTO_REPOSICAO_SERV+MOD_5_INSUMOS_SERV+AL_6_A_CUSTOS_INDIRETOS_SERV)</f>
        <v>155.222556472081</v>
      </c>
      <c r="L85" s="161"/>
      <c r="M85" s="161"/>
    </row>
    <row r="86" customFormat="false" ht="15" hidden="false" customHeight="true" outlineLevel="0" collapsed="false">
      <c r="B86" s="47" t="s">
        <v>19</v>
      </c>
      <c r="C86" s="71" t="s">
        <v>253</v>
      </c>
      <c r="D86" s="71"/>
      <c r="E86" s="149" t="n">
        <f aca="false">SUM(E87:E89)</f>
        <v>8.65</v>
      </c>
      <c r="F86" s="100" t="n">
        <f aca="false">SUM(F87:F89)</f>
        <v>278.578575959556</v>
      </c>
      <c r="L86" s="161"/>
      <c r="M86" s="161"/>
    </row>
    <row r="87" customFormat="false" ht="16.5" hidden="false" customHeight="true" outlineLevel="0" collapsed="false">
      <c r="B87" s="73" t="s">
        <v>109</v>
      </c>
      <c r="C87" s="151" t="s">
        <v>110</v>
      </c>
      <c r="D87" s="151"/>
      <c r="E87" s="152" t="n">
        <f aca="false">'INSERÇÃO-DE-DADOS_MÃO DE OBRA'!G70</f>
        <v>0.65</v>
      </c>
      <c r="F87" s="153" t="n">
        <f aca="false">((MOD_1_REMUNERACAO_SERV+MOD_2_ENCARGOS_BENEFICIOS_SERV+MOD_3_PROVISAO_RESCISAO_SERV+MOD_4_CUSTO_REPOSICAO_SERV+MOD_5_INSUMOS_SERV+AL_6_A_CUSTOS_INDIRETOS_SERV+AL_6_B_LUCRO_SERV)*E87%)/(1-PERC_TRIBUTOS%)</f>
        <v>20.933650216614</v>
      </c>
      <c r="L87" s="161"/>
      <c r="M87" s="161"/>
    </row>
    <row r="88" customFormat="false" ht="16.5" hidden="false" customHeight="true" outlineLevel="0" collapsed="false">
      <c r="B88" s="73" t="s">
        <v>111</v>
      </c>
      <c r="C88" s="154" t="s">
        <v>112</v>
      </c>
      <c r="D88" s="154"/>
      <c r="E88" s="155" t="n">
        <f aca="false">'INSERÇÃO-DE-DADOS_MÃO DE OBRA'!G71</f>
        <v>3</v>
      </c>
      <c r="F88" s="156" t="n">
        <f aca="false">((MOD_1_REMUNERACAO_SERV+MOD_2_ENCARGOS_BENEFICIOS_SERV+MOD_3_PROVISAO_RESCISAO_SERV+MOD_4_CUSTO_REPOSICAO_SERV+MOD_5_INSUMOS_SERV+AL_6_A_CUSTOS_INDIRETOS_SERV+AL_6_B_LUCRO_SERV)*E88%)/(1-PERC_TRIBUTOS%)</f>
        <v>96.6168471536031</v>
      </c>
      <c r="L88" s="161"/>
      <c r="M88" s="161"/>
    </row>
    <row r="89" customFormat="false" ht="15.75" hidden="false" customHeight="true" outlineLevel="0" collapsed="false">
      <c r="B89" s="73" t="s">
        <v>113</v>
      </c>
      <c r="C89" s="151" t="s">
        <v>114</v>
      </c>
      <c r="D89" s="151"/>
      <c r="E89" s="152" t="n">
        <f aca="false">'INSERÇÃO-DE-DADOS_MÃO DE OBRA'!G72</f>
        <v>5</v>
      </c>
      <c r="F89" s="153" t="n">
        <f aca="false">((MOD_1_REMUNERACAO_SERV+MOD_2_ENCARGOS_BENEFICIOS_SERV+MOD_3_PROVISAO_RESCISAO_SERV+MOD_4_CUSTO_REPOSICAO_SERV+MOD_5_INSUMOS_SERV+AL_6_A_CUSTOS_INDIRETOS_SERV+AL_6_B_LUCRO_SERV)*E89%)/(1-PERC_TRIBUTOS%)</f>
        <v>161.028078589339</v>
      </c>
      <c r="L89" s="161"/>
      <c r="M89" s="161"/>
    </row>
    <row r="90" customFormat="false" ht="16.4" hidden="false" customHeight="false" outlineLevel="0" collapsed="false">
      <c r="B90" s="64" t="s">
        <v>215</v>
      </c>
      <c r="C90" s="64"/>
      <c r="D90" s="64"/>
      <c r="E90" s="64"/>
      <c r="F90" s="157" t="n">
        <f aca="false">AL_6_A_CUSTOS_INDIRETOS_SERV+AL_6_B_LUCRO_SERV+AL_6_C_TRIBUTOS_SERV</f>
        <v>559.661696531224</v>
      </c>
      <c r="L90" s="161"/>
      <c r="M90" s="161"/>
    </row>
    <row r="91" customFormat="false" ht="15.75" hidden="false" customHeight="true" outlineLevel="0" collapsed="false">
      <c r="B91" s="158" t="s">
        <v>254</v>
      </c>
      <c r="C91" s="159"/>
      <c r="D91" s="159"/>
      <c r="E91" s="159"/>
      <c r="F91" s="160"/>
      <c r="L91" s="161"/>
      <c r="M91" s="161"/>
    </row>
    <row r="92" customFormat="false" ht="16.5" hidden="false" customHeight="true" outlineLevel="0" collapsed="false">
      <c r="B92" s="47" t="s">
        <v>255</v>
      </c>
      <c r="C92" s="46" t="s">
        <v>256</v>
      </c>
      <c r="D92" s="46"/>
      <c r="E92" s="46"/>
      <c r="F92" s="47" t="s">
        <v>257</v>
      </c>
      <c r="L92" s="161"/>
      <c r="M92" s="161"/>
    </row>
    <row r="93" s="67" customFormat="true" ht="16.5" hidden="false" customHeight="true" outlineLevel="0" collapsed="false">
      <c r="B93" s="19" t="n">
        <v>1</v>
      </c>
      <c r="C93" s="71" t="s">
        <v>49</v>
      </c>
      <c r="D93" s="71"/>
      <c r="E93" s="71"/>
      <c r="F93" s="100" t="n">
        <f aca="false">MOD_1_REMUNERACAO_SERV</f>
        <v>1032</v>
      </c>
      <c r="H93" s="161"/>
      <c r="I93" s="161"/>
      <c r="J93" s="161"/>
      <c r="K93" s="161"/>
      <c r="L93" s="161"/>
      <c r="M93" s="161"/>
      <c r="N93" s="162"/>
    </row>
    <row r="94" s="67" customFormat="true" ht="16.5" hidden="false" customHeight="true" outlineLevel="0" collapsed="false">
      <c r="B94" s="47" t="n">
        <v>2</v>
      </c>
      <c r="C94" s="23" t="s">
        <v>258</v>
      </c>
      <c r="D94" s="23"/>
      <c r="E94" s="23"/>
      <c r="F94" s="102" t="n">
        <f aca="false">MOD_2_ENCARGOS_BENEFICIOS_SERV</f>
        <v>877.22</v>
      </c>
      <c r="H94" s="161"/>
      <c r="I94" s="161"/>
      <c r="J94" s="161"/>
      <c r="K94" s="161"/>
      <c r="L94" s="161"/>
      <c r="M94" s="161"/>
      <c r="N94" s="162"/>
    </row>
    <row r="95" s="67" customFormat="true" ht="16.5" hidden="false" customHeight="true" outlineLevel="0" collapsed="false">
      <c r="B95" s="47" t="n">
        <v>3</v>
      </c>
      <c r="C95" s="71" t="s">
        <v>177</v>
      </c>
      <c r="D95" s="71"/>
      <c r="E95" s="71"/>
      <c r="F95" s="100" t="n">
        <f aca="false">MOD_3_PROVISAO_RESCISAO_SERV</f>
        <v>29.1163681502296</v>
      </c>
      <c r="H95" s="161"/>
      <c r="I95" s="161"/>
      <c r="J95" s="161"/>
      <c r="K95" s="161"/>
      <c r="L95" s="161"/>
      <c r="M95" s="161"/>
      <c r="N95" s="162"/>
    </row>
    <row r="96" s="70" customFormat="true" ht="16.5" hidden="false" customHeight="true" outlineLevel="0" collapsed="false">
      <c r="B96" s="47" t="n">
        <v>4</v>
      </c>
      <c r="C96" s="23" t="s">
        <v>259</v>
      </c>
      <c r="D96" s="23"/>
      <c r="E96" s="23"/>
      <c r="F96" s="102" t="n">
        <f aca="false">MOD_4_CUSTO_REPOSICAO_SERV</f>
        <v>208.427148771982</v>
      </c>
      <c r="H96" s="161"/>
      <c r="I96" s="161"/>
      <c r="J96" s="161"/>
      <c r="K96" s="161"/>
      <c r="L96" s="161"/>
      <c r="M96" s="161"/>
      <c r="N96" s="162"/>
    </row>
    <row r="97" s="67" customFormat="true" ht="16.5" hidden="false" customHeight="true" outlineLevel="0" collapsed="false">
      <c r="B97" s="47" t="n">
        <v>5</v>
      </c>
      <c r="C97" s="71" t="s">
        <v>97</v>
      </c>
      <c r="D97" s="71"/>
      <c r="E97" s="71"/>
      <c r="F97" s="100" t="n">
        <f aca="false">MOD_5_INSUMOS_SERV</f>
        <v>514.136358333333</v>
      </c>
      <c r="H97" s="161"/>
      <c r="I97" s="161"/>
      <c r="J97" s="161"/>
      <c r="K97" s="161"/>
      <c r="L97" s="161"/>
      <c r="M97" s="161"/>
      <c r="N97" s="162"/>
    </row>
    <row r="98" s="68" customFormat="true" ht="16.5" hidden="false" customHeight="true" outlineLevel="0" collapsed="false">
      <c r="B98" s="47" t="n">
        <v>6</v>
      </c>
      <c r="C98" s="23" t="s">
        <v>252</v>
      </c>
      <c r="D98" s="23"/>
      <c r="E98" s="23"/>
      <c r="F98" s="102" t="n">
        <f aca="false">MOD_6_CUSTOS_IND_LUCRO_TRIB_SERV</f>
        <v>559.661696531224</v>
      </c>
      <c r="H98" s="161"/>
      <c r="I98" s="161"/>
      <c r="J98" s="161"/>
      <c r="K98" s="161"/>
      <c r="L98" s="161"/>
      <c r="M98" s="161"/>
      <c r="N98" s="162"/>
    </row>
    <row r="99" s="68" customFormat="true" ht="16.5" hidden="false" customHeight="true" outlineLevel="0" collapsed="false">
      <c r="B99" s="46" t="s">
        <v>263</v>
      </c>
      <c r="C99" s="46"/>
      <c r="D99" s="46"/>
      <c r="E99" s="46"/>
      <c r="F99" s="157" t="n">
        <f aca="false">SUM(F93:F98)</f>
        <v>3220.56157178677</v>
      </c>
      <c r="H99" s="161"/>
      <c r="I99" s="161"/>
      <c r="J99" s="161"/>
      <c r="K99" s="161"/>
      <c r="L99" s="161"/>
      <c r="M99" s="161"/>
      <c r="N99" s="162"/>
    </row>
    <row r="100" s="68" customFormat="true" ht="16.5" hidden="false" customHeight="false" outlineLevel="0" collapsed="false">
      <c r="B100" s="1"/>
      <c r="C100" s="1"/>
      <c r="D100" s="1"/>
      <c r="E100" s="1"/>
      <c r="F100" s="1"/>
      <c r="H100" s="161"/>
      <c r="I100" s="161"/>
      <c r="J100" s="161"/>
      <c r="K100" s="161"/>
      <c r="L100" s="161"/>
      <c r="M100" s="161"/>
      <c r="N100" s="162"/>
    </row>
    <row r="101" customFormat="false" ht="16.5" hidden="false" customHeight="true" outlineLevel="0" collapsed="false">
      <c r="L101" s="161"/>
      <c r="M101" s="161"/>
    </row>
    <row r="102" customFormat="false" ht="16.5" hidden="false" customHeight="true" outlineLevel="0" collapsed="false">
      <c r="L102" s="161"/>
      <c r="M102" s="161"/>
    </row>
    <row r="103" customFormat="false" ht="16.5" hidden="false" customHeight="false" outlineLevel="0" collapsed="false">
      <c r="L103" s="161"/>
      <c r="M103" s="161"/>
    </row>
    <row r="104" customFormat="false" ht="16.5" hidden="false" customHeight="false" outlineLevel="0" collapsed="false">
      <c r="L104" s="161"/>
      <c r="M104" s="161"/>
    </row>
    <row r="105" customFormat="false" ht="16.5" hidden="false" customHeight="false" outlineLevel="0" collapsed="false">
      <c r="L105" s="161"/>
      <c r="M105" s="161"/>
    </row>
    <row r="106" customFormat="false" ht="16.5" hidden="false" customHeight="false" outlineLevel="0" collapsed="false">
      <c r="L106" s="161"/>
      <c r="M106" s="161"/>
    </row>
    <row r="107" customFormat="false" ht="16.5" hidden="false" customHeight="false" outlineLevel="0" collapsed="false">
      <c r="L107" s="161"/>
      <c r="M107" s="161"/>
    </row>
    <row r="108" customFormat="false" ht="16.5" hidden="false" customHeight="false" outlineLevel="0" collapsed="false">
      <c r="L108" s="161"/>
      <c r="M108" s="161"/>
    </row>
    <row r="109" customFormat="false" ht="16.5" hidden="false" customHeight="false" outlineLevel="0" collapsed="false">
      <c r="L109" s="161"/>
      <c r="M109" s="161"/>
      <c r="N109" s="161"/>
    </row>
    <row r="110" customFormat="false" ht="16.5" hidden="false" customHeight="false" outlineLevel="0" collapsed="false">
      <c r="L110" s="161"/>
      <c r="M110" s="161"/>
      <c r="N110" s="161"/>
    </row>
    <row r="111" customFormat="false" ht="16.5" hidden="false" customHeight="false" outlineLevel="0" collapsed="false">
      <c r="L111" s="161"/>
      <c r="M111" s="161"/>
      <c r="N111" s="161"/>
    </row>
    <row r="112" customFormat="false" ht="16.5" hidden="false" customHeight="false" outlineLevel="0" collapsed="false">
      <c r="L112" s="161"/>
      <c r="M112" s="161"/>
      <c r="N112" s="161"/>
    </row>
    <row r="113" customFormat="false" ht="16.5" hidden="false" customHeight="false" outlineLevel="0" collapsed="false">
      <c r="L113" s="161"/>
      <c r="M113" s="161"/>
      <c r="N113" s="161"/>
    </row>
    <row r="114" customFormat="false" ht="16.5" hidden="false" customHeight="false" outlineLevel="0" collapsed="false">
      <c r="L114" s="161"/>
      <c r="M114" s="161"/>
      <c r="N114" s="161"/>
    </row>
    <row r="115" customFormat="false" ht="16.5" hidden="false" customHeight="false" outlineLevel="0" collapsed="false">
      <c r="L115" s="161"/>
      <c r="M115" s="161"/>
      <c r="N115" s="161"/>
    </row>
    <row r="116" customFormat="false" ht="16.5" hidden="false" customHeight="false" outlineLevel="0" collapsed="false">
      <c r="H116" s="169"/>
      <c r="I116" s="169"/>
      <c r="J116" s="169"/>
      <c r="K116" s="169"/>
      <c r="L116" s="169"/>
      <c r="M116" s="169"/>
      <c r="N116" s="169"/>
    </row>
    <row r="117" customFormat="false" ht="16.5" hidden="false" customHeight="false" outlineLevel="0" collapsed="false">
      <c r="H117" s="169"/>
      <c r="I117" s="169"/>
      <c r="J117" s="169"/>
      <c r="K117" s="169"/>
      <c r="L117" s="169"/>
      <c r="M117" s="169"/>
      <c r="N117" s="169"/>
    </row>
    <row r="118" customFormat="false" ht="16.5" hidden="false" customHeight="false" outlineLevel="0" collapsed="false">
      <c r="H118" s="169"/>
      <c r="I118" s="169"/>
      <c r="J118" s="169"/>
      <c r="K118" s="169"/>
      <c r="L118" s="169"/>
      <c r="M118" s="169"/>
      <c r="N118" s="169"/>
    </row>
    <row r="119" customFormat="false" ht="16.5" hidden="false" customHeight="false" outlineLevel="0" collapsed="false">
      <c r="H119" s="169"/>
      <c r="I119" s="169"/>
      <c r="J119" s="169"/>
      <c r="K119" s="169"/>
      <c r="L119" s="169"/>
      <c r="M119" s="169"/>
      <c r="N119" s="169"/>
    </row>
    <row r="120" customFormat="false" ht="16.5" hidden="false" customHeight="false" outlineLevel="0" collapsed="false">
      <c r="H120" s="169"/>
      <c r="I120" s="169"/>
      <c r="J120" s="169"/>
      <c r="K120" s="169"/>
      <c r="L120" s="169"/>
      <c r="M120" s="169"/>
      <c r="N120" s="169"/>
    </row>
    <row r="121" customFormat="false" ht="16.5" hidden="false" customHeight="false" outlineLevel="0" collapsed="false">
      <c r="H121" s="170"/>
      <c r="I121" s="170"/>
      <c r="J121" s="170"/>
      <c r="K121" s="170"/>
      <c r="L121" s="170"/>
      <c r="M121" s="170"/>
      <c r="N121" s="170"/>
    </row>
    <row r="122" customFormat="false" ht="16.5" hidden="false" customHeight="false" outlineLevel="0" collapsed="false">
      <c r="H122" s="169"/>
      <c r="I122" s="169"/>
      <c r="J122" s="169"/>
      <c r="K122" s="169"/>
      <c r="L122" s="169"/>
      <c r="M122" s="169"/>
      <c r="N122" s="169"/>
    </row>
    <row r="123" customFormat="false" ht="16.5" hidden="false" customHeight="false" outlineLevel="0" collapsed="false">
      <c r="H123" s="113"/>
      <c r="I123" s="113"/>
      <c r="J123" s="113"/>
      <c r="K123" s="113"/>
      <c r="L123" s="113"/>
      <c r="M123" s="113"/>
      <c r="N123" s="113"/>
    </row>
    <row r="124" customFormat="false" ht="16.5" hidden="false" customHeight="false" outlineLevel="0" collapsed="false">
      <c r="H124" s="113"/>
      <c r="I124" s="113"/>
      <c r="J124" s="113"/>
      <c r="K124" s="113"/>
      <c r="L124" s="113"/>
      <c r="M124" s="113"/>
      <c r="N124" s="113"/>
    </row>
    <row r="125" customFormat="false" ht="16.5" hidden="false" customHeight="false" outlineLevel="0" collapsed="false">
      <c r="H125" s="113"/>
      <c r="I125" s="113"/>
      <c r="J125" s="113"/>
      <c r="K125" s="113"/>
      <c r="L125" s="113"/>
      <c r="M125" s="113"/>
      <c r="N125" s="113"/>
    </row>
    <row r="126" customFormat="false" ht="16.5" hidden="false" customHeight="false" outlineLevel="0" collapsed="false">
      <c r="H126" s="113"/>
      <c r="I126" s="113"/>
      <c r="J126" s="113"/>
      <c r="K126" s="113"/>
      <c r="L126" s="113"/>
      <c r="M126" s="113"/>
      <c r="N126" s="113"/>
    </row>
    <row r="127" customFormat="false" ht="16.5" hidden="false" customHeight="false" outlineLevel="0" collapsed="false">
      <c r="H127" s="113"/>
      <c r="I127" s="113"/>
      <c r="J127" s="113"/>
      <c r="K127" s="113"/>
      <c r="L127" s="113"/>
      <c r="M127" s="113"/>
      <c r="N127" s="113"/>
    </row>
    <row r="128" customFormat="false" ht="16.5" hidden="false" customHeight="false" outlineLevel="0" collapsed="false">
      <c r="L128" s="161"/>
      <c r="M128" s="161"/>
      <c r="N128" s="161"/>
    </row>
    <row r="129" customFormat="false" ht="16.5" hidden="false" customHeight="false" outlineLevel="0" collapsed="false">
      <c r="L129" s="161"/>
      <c r="M129" s="161"/>
      <c r="N129" s="161"/>
    </row>
    <row r="130" customFormat="false" ht="16.5" hidden="false" customHeight="false" outlineLevel="0" collapsed="false">
      <c r="L130" s="161"/>
      <c r="M130" s="161"/>
      <c r="N130" s="161"/>
    </row>
    <row r="131" customFormat="false" ht="16.5" hidden="false" customHeight="false" outlineLevel="0" collapsed="false">
      <c r="L131" s="161"/>
      <c r="M131" s="161"/>
      <c r="N131" s="161"/>
    </row>
    <row r="132" customFormat="false" ht="16.5" hidden="false" customHeight="false" outlineLevel="0" collapsed="false">
      <c r="L132" s="161"/>
      <c r="M132" s="161"/>
      <c r="N132" s="161"/>
    </row>
    <row r="133" customFormat="false" ht="16.5" hidden="false" customHeight="false" outlineLevel="0" collapsed="false">
      <c r="L133" s="161"/>
      <c r="M133" s="161"/>
      <c r="N133" s="161"/>
    </row>
    <row r="134" customFormat="false" ht="16.5" hidden="false" customHeight="false" outlineLevel="0" collapsed="false">
      <c r="L134" s="161"/>
      <c r="M134" s="161"/>
      <c r="N134" s="161"/>
    </row>
    <row r="144" customFormat="false" ht="16.5" hidden="false" customHeight="false" outlineLevel="0" collapsed="false">
      <c r="H144" s="162"/>
      <c r="I144" s="162"/>
      <c r="J144" s="162"/>
      <c r="K144" s="162"/>
    </row>
    <row r="145" customFormat="false" ht="16.5" hidden="false" customHeight="false" outlineLevel="0" collapsed="false">
      <c r="H145" s="162"/>
      <c r="I145" s="162"/>
      <c r="J145" s="162"/>
      <c r="K145" s="162"/>
    </row>
    <row r="146" customFormat="false" ht="16.5" hidden="false" customHeight="false" outlineLevel="0" collapsed="false">
      <c r="H146" s="162"/>
      <c r="I146" s="162"/>
      <c r="J146" s="162"/>
      <c r="K146" s="162"/>
    </row>
    <row r="147" customFormat="false" ht="16.5" hidden="false" customHeight="false" outlineLevel="0" collapsed="false">
      <c r="H147" s="162"/>
      <c r="I147" s="162"/>
      <c r="J147" s="162"/>
      <c r="K147" s="162"/>
    </row>
    <row r="148" customFormat="false" ht="16.5" hidden="false" customHeight="false" outlineLevel="0" collapsed="false">
      <c r="H148" s="162"/>
      <c r="I148" s="162"/>
      <c r="J148" s="162"/>
      <c r="K148" s="162"/>
    </row>
    <row r="149" customFormat="false" ht="16.5" hidden="false" customHeight="false" outlineLevel="0" collapsed="false">
      <c r="H149" s="162"/>
      <c r="I149" s="162"/>
      <c r="J149" s="162"/>
      <c r="K149" s="162"/>
    </row>
    <row r="150" customFormat="false" ht="16.5" hidden="false" customHeight="false" outlineLevel="0" collapsed="false">
      <c r="H150" s="162"/>
      <c r="I150" s="162"/>
      <c r="J150" s="162"/>
      <c r="K150" s="162"/>
    </row>
    <row r="151" customFormat="false" ht="16.5" hidden="false" customHeight="false" outlineLevel="0" collapsed="false">
      <c r="H151" s="162"/>
      <c r="I151" s="162"/>
      <c r="J151" s="162"/>
      <c r="K151" s="162"/>
    </row>
    <row r="152" customFormat="false" ht="16.5" hidden="false" customHeight="false" outlineLevel="0" collapsed="false">
      <c r="H152" s="162"/>
      <c r="I152" s="162"/>
      <c r="J152" s="162"/>
      <c r="K152" s="162"/>
    </row>
    <row r="153" customFormat="false" ht="16.5" hidden="false" customHeight="false" outlineLevel="0" collapsed="false">
      <c r="H153" s="162"/>
      <c r="I153" s="162"/>
      <c r="J153" s="162"/>
      <c r="K153" s="162"/>
    </row>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4"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A1" activeCellId="0" sqref="A1"/>
    </sheetView>
  </sheetViews>
  <sheetFormatPr defaultRowHeight="13.8" zeroHeight="false" outlineLevelRow="0" outlineLevelCol="0"/>
  <cols>
    <col collapsed="false" customWidth="true" hidden="false" outlineLevel="0" max="1" min="1" style="166" width="1.12"/>
    <col collapsed="false" customWidth="true" hidden="false" outlineLevel="0" max="2" min="2" style="161" width="20.71"/>
    <col collapsed="false" customWidth="true" hidden="false" outlineLevel="0" max="3" min="3" style="113" width="20.42"/>
    <col collapsed="false" customWidth="true" hidden="false" outlineLevel="0" max="4" min="4" style="161" width="18.58"/>
    <col collapsed="false" customWidth="true" hidden="false" outlineLevel="0" max="5" min="5" style="161" width="17.4"/>
    <col collapsed="false" customWidth="true" hidden="false" outlineLevel="0" max="6" min="6" style="161" width="19.01"/>
    <col collapsed="false" customWidth="true" hidden="false" outlineLevel="0" max="7" min="7" style="162" width="17.71"/>
    <col collapsed="false" customWidth="true" hidden="false" outlineLevel="0" max="8" min="8" style="162" width="18.85"/>
    <col collapsed="false" customWidth="true" hidden="false" outlineLevel="0" max="9" min="9" style="162" width="17.29"/>
    <col collapsed="false" customWidth="true" hidden="false" outlineLevel="0" max="257" min="10" style="166" width="9.13"/>
    <col collapsed="false" customWidth="true" hidden="false" outlineLevel="0" max="258" min="258" style="166" width="1.12"/>
    <col collapsed="false" customWidth="true" hidden="false" outlineLevel="0" max="259" min="259" style="166" width="20.71"/>
    <col collapsed="false" customWidth="true" hidden="false" outlineLevel="0" max="260" min="260" style="166" width="23.42"/>
    <col collapsed="false" customWidth="true" hidden="false" outlineLevel="0" max="261" min="261" style="166" width="20.57"/>
    <col collapsed="false" customWidth="true" hidden="false" outlineLevel="0" max="262" min="262" style="166" width="19.99"/>
    <col collapsed="false" customWidth="true" hidden="false" outlineLevel="0" max="263" min="263" style="166" width="23.15"/>
    <col collapsed="false" customWidth="true" hidden="false" outlineLevel="0" max="264" min="264" style="166" width="13.57"/>
    <col collapsed="false" customWidth="true" hidden="false" outlineLevel="0" max="265" min="265" style="166" width="17.29"/>
    <col collapsed="false" customWidth="true" hidden="false" outlineLevel="0" max="513" min="266" style="166" width="9.13"/>
    <col collapsed="false" customWidth="true" hidden="false" outlineLevel="0" max="514" min="514" style="166" width="1.12"/>
    <col collapsed="false" customWidth="true" hidden="false" outlineLevel="0" max="515" min="515" style="166" width="20.71"/>
    <col collapsed="false" customWidth="true" hidden="false" outlineLevel="0" max="516" min="516" style="166" width="23.42"/>
    <col collapsed="false" customWidth="true" hidden="false" outlineLevel="0" max="517" min="517" style="166" width="20.57"/>
    <col collapsed="false" customWidth="true" hidden="false" outlineLevel="0" max="518" min="518" style="166" width="19.99"/>
    <col collapsed="false" customWidth="true" hidden="false" outlineLevel="0" max="519" min="519" style="166" width="23.15"/>
    <col collapsed="false" customWidth="true" hidden="false" outlineLevel="0" max="520" min="520" style="166" width="13.57"/>
    <col collapsed="false" customWidth="true" hidden="false" outlineLevel="0" max="521" min="521" style="166" width="17.29"/>
    <col collapsed="false" customWidth="true" hidden="false" outlineLevel="0" max="769" min="522" style="166" width="9.13"/>
    <col collapsed="false" customWidth="true" hidden="false" outlineLevel="0" max="770" min="770" style="166" width="1.12"/>
    <col collapsed="false" customWidth="true" hidden="false" outlineLevel="0" max="771" min="771" style="166" width="20.71"/>
    <col collapsed="false" customWidth="true" hidden="false" outlineLevel="0" max="772" min="772" style="166" width="23.42"/>
    <col collapsed="false" customWidth="true" hidden="false" outlineLevel="0" max="773" min="773" style="166" width="20.57"/>
    <col collapsed="false" customWidth="true" hidden="false" outlineLevel="0" max="774" min="774" style="166" width="19.99"/>
    <col collapsed="false" customWidth="true" hidden="false" outlineLevel="0" max="775" min="775" style="166" width="23.15"/>
    <col collapsed="false" customWidth="true" hidden="false" outlineLevel="0" max="776" min="776" style="166" width="13.57"/>
    <col collapsed="false" customWidth="true" hidden="false" outlineLevel="0" max="777" min="777" style="166" width="17.29"/>
    <col collapsed="false" customWidth="true" hidden="false" outlineLevel="0" max="1025" min="778" style="166" width="9.13"/>
  </cols>
  <sheetData>
    <row r="1" s="171" customFormat="true" ht="17.35" hidden="false" customHeight="false" outlineLevel="0" collapsed="false">
      <c r="B1" s="172" t="str">
        <f aca="false">RAMO</f>
        <v>RAMO: MINISTÉRIO PÚBLICO FEDERAL</v>
      </c>
      <c r="C1" s="172"/>
      <c r="D1" s="172"/>
      <c r="E1" s="172"/>
      <c r="F1" s="172"/>
      <c r="G1" s="172"/>
      <c r="H1" s="172"/>
      <c r="I1" s="172"/>
    </row>
    <row r="2" s="171" customFormat="true" ht="17.35" hidden="false" customHeight="false" outlineLevel="0" collapsed="false">
      <c r="B2" s="173" t="str">
        <f aca="false">UG</f>
        <v>UNIDADE GESTORA (SIGLA): PRMS</v>
      </c>
      <c r="C2" s="173"/>
      <c r="D2" s="173"/>
      <c r="E2" s="173"/>
      <c r="F2" s="173"/>
      <c r="G2" s="173"/>
      <c r="H2" s="116" t="s">
        <v>2</v>
      </c>
      <c r="I2" s="117" t="str">
        <f aca="false">IF(DATA_DO_ORCAMENTO_ESTIMATIVO="","",DATA_DO_ORCAMENTO_ESTIMATIVO)</f>
        <v/>
      </c>
    </row>
    <row r="3" customFormat="false" ht="9" hidden="false" customHeight="true" outlineLevel="0" collapsed="false"/>
    <row r="4" customFormat="false" ht="17.35" hidden="false" customHeight="false" outlineLevel="0" collapsed="false">
      <c r="B4" s="174" t="s">
        <v>264</v>
      </c>
      <c r="C4" s="174"/>
      <c r="D4" s="174"/>
      <c r="E4" s="174"/>
      <c r="F4" s="174"/>
      <c r="G4" s="174"/>
      <c r="H4" s="174"/>
      <c r="I4" s="174"/>
    </row>
    <row r="5" customFormat="false" ht="15" hidden="false" customHeight="true" outlineLevel="0" collapsed="false">
      <c r="B5" s="175" t="s">
        <v>265</v>
      </c>
      <c r="C5" s="175"/>
      <c r="D5" s="175"/>
      <c r="E5" s="175"/>
      <c r="F5" s="175"/>
      <c r="G5" s="175"/>
      <c r="H5" s="175"/>
      <c r="I5" s="175"/>
    </row>
    <row r="6" s="176" customFormat="true" ht="10.5" hidden="false" customHeight="true" outlineLevel="0" collapsed="false">
      <c r="B6" s="177"/>
      <c r="C6" s="178"/>
      <c r="D6" s="177"/>
      <c r="E6" s="177"/>
      <c r="F6" s="177"/>
      <c r="G6" s="177"/>
      <c r="H6" s="177"/>
      <c r="I6" s="177"/>
    </row>
    <row r="7" customFormat="false" ht="15" hidden="false" customHeight="true" outlineLevel="0" collapsed="false">
      <c r="B7" s="175" t="s">
        <v>316</v>
      </c>
      <c r="C7" s="175"/>
      <c r="D7" s="175"/>
      <c r="E7" s="175"/>
      <c r="F7" s="175"/>
      <c r="G7" s="175"/>
      <c r="H7" s="175"/>
      <c r="I7" s="175"/>
    </row>
    <row r="8" customFormat="false" ht="14.25" hidden="false" customHeight="true" outlineLevel="0" collapsed="false">
      <c r="B8" s="179" t="s">
        <v>267</v>
      </c>
      <c r="C8" s="179"/>
      <c r="D8" s="179"/>
      <c r="E8" s="179"/>
      <c r="F8" s="179"/>
      <c r="G8" s="179"/>
      <c r="H8" s="179"/>
      <c r="I8" s="179"/>
    </row>
    <row r="9" customFormat="false" ht="15.75" hidden="false" customHeight="true" outlineLevel="0" collapsed="false">
      <c r="B9" s="179"/>
      <c r="C9" s="179"/>
      <c r="D9" s="179"/>
      <c r="E9" s="179"/>
      <c r="F9" s="179"/>
      <c r="G9" s="179"/>
      <c r="H9" s="179"/>
      <c r="I9" s="179"/>
    </row>
    <row r="10" customFormat="false" ht="12.75" hidden="false" customHeight="true" outlineLevel="0" collapsed="false">
      <c r="A10" s="180"/>
      <c r="B10" s="19" t="s">
        <v>268</v>
      </c>
      <c r="C10" s="47" t="s">
        <v>269</v>
      </c>
      <c r="D10" s="47" t="s">
        <v>270</v>
      </c>
      <c r="E10" s="47" t="s">
        <v>271</v>
      </c>
      <c r="F10" s="47" t="s">
        <v>272</v>
      </c>
      <c r="G10" s="181"/>
      <c r="I10" s="166"/>
    </row>
    <row r="11" customFormat="false" ht="21" hidden="false" customHeight="true" outlineLevel="0" collapsed="false">
      <c r="A11" s="180"/>
      <c r="B11" s="19"/>
      <c r="C11" s="47"/>
      <c r="D11" s="47"/>
      <c r="E11" s="47"/>
      <c r="F11" s="47"/>
      <c r="G11" s="181"/>
      <c r="I11" s="166"/>
    </row>
    <row r="12" customFormat="false" ht="15.75" hidden="false" customHeight="false" outlineLevel="0" collapsed="false">
      <c r="A12" s="180"/>
      <c r="B12" s="84" t="s">
        <v>275</v>
      </c>
      <c r="C12" s="88" t="s">
        <v>274</v>
      </c>
      <c r="D12" s="183" t="n">
        <f aca="false">1/'INSERÇÃO-DE-DADOS_PRODUTIVIDADE'!M9</f>
        <v>0.00125</v>
      </c>
      <c r="E12" s="184" t="n">
        <f aca="false">'SERVENTE COR'!F99</f>
        <v>3220.56157178677</v>
      </c>
      <c r="F12" s="184" t="n">
        <f aca="false">D12*E12</f>
        <v>4.02570196473346</v>
      </c>
      <c r="G12" s="181"/>
      <c r="I12" s="166"/>
    </row>
    <row r="13" customFormat="false" ht="15.75" hidden="false" customHeight="false" outlineLevel="0" collapsed="false">
      <c r="A13" s="180"/>
      <c r="B13" s="84" t="s">
        <v>275</v>
      </c>
      <c r="C13" s="88" t="s">
        <v>277</v>
      </c>
      <c r="D13" s="183" t="n">
        <f aca="false">1/'INSERÇÃO-DE-DADOS_PRODUTIVIDADE'!M10</f>
        <v>0.000666666666666667</v>
      </c>
      <c r="E13" s="184" t="n">
        <f aca="false">'SERVENTE COR'!F99</f>
        <v>3220.56157178677</v>
      </c>
      <c r="F13" s="184" t="n">
        <f aca="false">D13*E13</f>
        <v>2.14704104785785</v>
      </c>
      <c r="G13" s="181"/>
      <c r="I13" s="166"/>
    </row>
    <row r="14" customFormat="false" ht="15.75" hidden="false" customHeight="false" outlineLevel="0" collapsed="false">
      <c r="A14" s="180"/>
      <c r="B14" s="84" t="s">
        <v>275</v>
      </c>
      <c r="C14" s="88" t="s">
        <v>279</v>
      </c>
      <c r="D14" s="183" t="n">
        <f aca="false">1/'INSERÇÃO-DE-DADOS_PRODUTIVIDADE'!M11</f>
        <v>0.005</v>
      </c>
      <c r="E14" s="184" t="n">
        <f aca="false">'SERVENTE COR'!F99</f>
        <v>3220.56157178677</v>
      </c>
      <c r="F14" s="184" t="n">
        <f aca="false">D14*E14</f>
        <v>16.1028078589338</v>
      </c>
      <c r="G14" s="181"/>
      <c r="I14" s="166"/>
    </row>
    <row r="15" customFormat="false" ht="3.75" hidden="false" customHeight="true" outlineLevel="0" collapsed="false">
      <c r="B15" s="182"/>
      <c r="C15" s="188"/>
      <c r="D15" s="189"/>
      <c r="E15" s="189"/>
      <c r="F15" s="189"/>
      <c r="G15" s="190"/>
      <c r="I15" s="166"/>
    </row>
    <row r="16" s="191" customFormat="true" ht="15.75" hidden="false" customHeight="true" outlineLevel="0" collapsed="false">
      <c r="B16" s="179" t="s">
        <v>309</v>
      </c>
      <c r="C16" s="179"/>
      <c r="D16" s="179"/>
      <c r="E16" s="179"/>
      <c r="F16" s="179"/>
      <c r="G16" s="179"/>
      <c r="H16" s="179"/>
      <c r="I16" s="179"/>
    </row>
    <row r="17" s="191" customFormat="true" ht="12.8" hidden="false" customHeight="false" outlineLevel="0" collapsed="false">
      <c r="B17" s="179"/>
      <c r="C17" s="179"/>
      <c r="D17" s="179"/>
      <c r="E17" s="179"/>
      <c r="F17" s="179"/>
      <c r="G17" s="179"/>
      <c r="H17" s="179"/>
      <c r="I17" s="179"/>
    </row>
    <row r="18" customFormat="false" ht="12.8" hidden="false" customHeight="true" outlineLevel="0" collapsed="false">
      <c r="A18" s="180"/>
      <c r="B18" s="19" t="s">
        <v>268</v>
      </c>
      <c r="C18" s="47" t="s">
        <v>269</v>
      </c>
      <c r="D18" s="47" t="s">
        <v>270</v>
      </c>
      <c r="E18" s="47" t="s">
        <v>271</v>
      </c>
      <c r="F18" s="47" t="s">
        <v>272</v>
      </c>
      <c r="G18" s="181"/>
    </row>
    <row r="19" customFormat="false" ht="31.5" hidden="false" customHeight="true" outlineLevel="0" collapsed="false">
      <c r="A19" s="180"/>
      <c r="B19" s="19"/>
      <c r="C19" s="47"/>
      <c r="D19" s="47"/>
      <c r="E19" s="47"/>
      <c r="F19" s="47"/>
      <c r="G19" s="181"/>
      <c r="H19" s="161"/>
    </row>
    <row r="20" customFormat="false" ht="15.75" hidden="false" customHeight="false" outlineLevel="0" collapsed="false">
      <c r="A20" s="180"/>
      <c r="B20" s="84" t="s">
        <v>275</v>
      </c>
      <c r="C20" s="88" t="s">
        <v>282</v>
      </c>
      <c r="D20" s="183" t="n">
        <f aca="false">1/'INSERÇÃO-DE-DADOS_PRODUTIVIDADE'!M12</f>
        <v>0.000555555555555556</v>
      </c>
      <c r="E20" s="184" t="n">
        <f aca="false">'SERVENTE COR'!F99</f>
        <v>3220.56157178677</v>
      </c>
      <c r="F20" s="184" t="n">
        <f aca="false">D20*E20</f>
        <v>1.78920087321487</v>
      </c>
      <c r="G20" s="181"/>
      <c r="H20" s="161"/>
    </row>
    <row r="21" customFormat="false" ht="46.4" hidden="false" customHeight="false" outlineLevel="0" collapsed="false">
      <c r="A21" s="180"/>
      <c r="B21" s="84" t="s">
        <v>275</v>
      </c>
      <c r="C21" s="88" t="s">
        <v>284</v>
      </c>
      <c r="D21" s="183" t="n">
        <f aca="false">1/'INSERÇÃO-DE-DADOS_PRODUTIVIDADE'!M13</f>
        <v>0.000166666666666667</v>
      </c>
      <c r="E21" s="184" t="n">
        <f aca="false">'SERVENTE COR'!F99</f>
        <v>3220.56157178677</v>
      </c>
      <c r="F21" s="184" t="n">
        <f aca="false">D21*E21</f>
        <v>0.536760261964463</v>
      </c>
      <c r="G21" s="181"/>
      <c r="H21" s="161"/>
    </row>
    <row r="22" customFormat="false" ht="15.75" hidden="false" customHeight="false" outlineLevel="0" collapsed="false">
      <c r="A22" s="180"/>
      <c r="B22" s="84" t="s">
        <v>275</v>
      </c>
      <c r="C22" s="88" t="s">
        <v>286</v>
      </c>
      <c r="D22" s="183" t="n">
        <f aca="false">1/'INSERÇÃO-DE-DADOS_PRODUTIVIDADE'!M14</f>
        <v>0.000555555555555556</v>
      </c>
      <c r="E22" s="184" t="n">
        <f aca="false">'SERVENTE COR'!F99</f>
        <v>3220.56157178677</v>
      </c>
      <c r="F22" s="184" t="n">
        <f aca="false">D22*E22</f>
        <v>1.78920087321487</v>
      </c>
      <c r="G22" s="181"/>
      <c r="H22" s="161"/>
    </row>
    <row r="23" customFormat="false" ht="3.75" hidden="false" customHeight="true" outlineLevel="0" collapsed="false">
      <c r="B23" s="182"/>
      <c r="C23" s="188"/>
      <c r="D23" s="189"/>
      <c r="E23" s="189"/>
      <c r="F23" s="189"/>
      <c r="G23" s="193"/>
      <c r="H23" s="181"/>
      <c r="I23" s="181"/>
    </row>
    <row r="24" s="191" customFormat="true" ht="12.75" hidden="false" customHeight="true" outlineLevel="0" collapsed="false">
      <c r="B24" s="179" t="s">
        <v>287</v>
      </c>
      <c r="C24" s="179"/>
      <c r="D24" s="179"/>
      <c r="E24" s="179"/>
      <c r="F24" s="179"/>
      <c r="G24" s="179"/>
      <c r="H24" s="179"/>
      <c r="I24" s="179"/>
    </row>
    <row r="25" s="191" customFormat="true" ht="15.75" hidden="false" customHeight="true" outlineLevel="0" collapsed="false">
      <c r="B25" s="179"/>
      <c r="C25" s="179"/>
      <c r="D25" s="179"/>
      <c r="E25" s="179"/>
      <c r="F25" s="179"/>
      <c r="G25" s="179"/>
      <c r="H25" s="179"/>
      <c r="I25" s="179"/>
    </row>
    <row r="26" customFormat="false" ht="12.8" hidden="false" customHeight="true" outlineLevel="0" collapsed="false">
      <c r="A26" s="180"/>
      <c r="B26" s="19" t="s">
        <v>268</v>
      </c>
      <c r="C26" s="47" t="s">
        <v>269</v>
      </c>
      <c r="D26" s="47" t="s">
        <v>270</v>
      </c>
      <c r="E26" s="47" t="s">
        <v>288</v>
      </c>
      <c r="F26" s="47" t="s">
        <v>289</v>
      </c>
      <c r="G26" s="47" t="s">
        <v>290</v>
      </c>
      <c r="H26" s="47" t="s">
        <v>291</v>
      </c>
      <c r="I26" s="47" t="s">
        <v>292</v>
      </c>
    </row>
    <row r="27" customFormat="false" ht="12.8" hidden="false" customHeight="false" outlineLevel="0" collapsed="false">
      <c r="A27" s="180"/>
      <c r="B27" s="19"/>
      <c r="C27" s="47"/>
      <c r="D27" s="47"/>
      <c r="E27" s="47"/>
      <c r="F27" s="47"/>
      <c r="G27" s="47"/>
      <c r="H27" s="47"/>
      <c r="I27" s="47"/>
    </row>
    <row r="28" customFormat="false" ht="36" hidden="false" customHeight="true" outlineLevel="0" collapsed="false">
      <c r="A28" s="180"/>
      <c r="B28" s="19"/>
      <c r="C28" s="47"/>
      <c r="D28" s="47"/>
      <c r="E28" s="47"/>
      <c r="F28" s="47"/>
      <c r="G28" s="47"/>
      <c r="H28" s="47"/>
      <c r="I28" s="47"/>
    </row>
    <row r="29" customFormat="false" ht="15.75" hidden="false" customHeight="false" outlineLevel="0" collapsed="false">
      <c r="A29" s="180"/>
      <c r="B29" s="84" t="s">
        <v>275</v>
      </c>
      <c r="C29" s="88" t="s">
        <v>293</v>
      </c>
      <c r="D29" s="183" t="n">
        <f aca="false">1/'INSERÇÃO-DE-DADOS_PRODUTIVIDADE'!M15</f>
        <v>0.00333333333333333</v>
      </c>
      <c r="E29" s="194" t="n">
        <f aca="false">'INSERÇÃO-DE-DADOS_PRODUTIVIDADE'!P15</f>
        <v>16</v>
      </c>
      <c r="F29" s="195" t="n">
        <f aca="false">1/((DIAS_NO_MES/DIAS_NA_SEMANA)*CARGA_HORARIA_SEMANAL)</f>
        <v>0.0053030303030303</v>
      </c>
      <c r="G29" s="195" t="n">
        <f aca="false">D29*E29*F29</f>
        <v>0.000282828282828283</v>
      </c>
      <c r="H29" s="184" t="n">
        <f aca="false">'SERVENTE COR'!F99</f>
        <v>3220.56157178677</v>
      </c>
      <c r="I29" s="184" t="n">
        <f aca="false">G29*H29</f>
        <v>0.910865899091208</v>
      </c>
    </row>
    <row r="30" customFormat="false" ht="15.75" hidden="false" customHeight="false" outlineLevel="0" collapsed="false">
      <c r="A30" s="180"/>
      <c r="B30" s="84"/>
      <c r="C30" s="88" t="s">
        <v>294</v>
      </c>
      <c r="D30" s="183" t="n">
        <f aca="false">1/'INSERÇÃO-DE-DADOS_PRODUTIVIDADE'!M16</f>
        <v>0.00333333333333333</v>
      </c>
      <c r="E30" s="194" t="n">
        <f aca="false">'INSERÇÃO-DE-DADOS_PRODUTIVIDADE'!P16</f>
        <v>16</v>
      </c>
      <c r="F30" s="195" t="n">
        <f aca="false">1/((DIAS_NO_MES/DIAS_NA_SEMANA)*CARGA_HORARIA_SEMANAL)</f>
        <v>0.0053030303030303</v>
      </c>
      <c r="G30" s="195" t="n">
        <f aca="false">D30*E30*F30</f>
        <v>0.000282828282828283</v>
      </c>
      <c r="H30" s="184" t="n">
        <f aca="false">'SERVENTE COR'!F99</f>
        <v>3220.56157178677</v>
      </c>
      <c r="I30" s="184" t="n">
        <f aca="false">G30*H30</f>
        <v>0.910865899091208</v>
      </c>
    </row>
    <row r="31" customFormat="false" ht="10.25" hidden="false" customHeight="true" outlineLevel="0" collapsed="false">
      <c r="A31" s="180"/>
      <c r="B31" s="182"/>
      <c r="C31" s="188"/>
      <c r="D31" s="189"/>
      <c r="E31" s="189"/>
      <c r="F31" s="189"/>
      <c r="G31" s="189"/>
      <c r="H31" s="189"/>
      <c r="I31" s="189"/>
    </row>
    <row r="32" customFormat="false" ht="9" hidden="false" customHeight="true" outlineLevel="0" collapsed="false">
      <c r="B32" s="182"/>
      <c r="C32" s="188"/>
      <c r="D32" s="189"/>
      <c r="E32" s="189"/>
      <c r="F32" s="189"/>
      <c r="G32" s="193"/>
      <c r="H32" s="161"/>
    </row>
    <row r="33" s="191" customFormat="true" ht="13.5" hidden="false" customHeight="true" outlineLevel="0" collapsed="false">
      <c r="B33" s="199" t="s">
        <v>297</v>
      </c>
      <c r="C33" s="199"/>
      <c r="D33" s="199"/>
      <c r="E33" s="199"/>
      <c r="F33" s="199"/>
      <c r="G33" s="166"/>
      <c r="H33" s="166"/>
    </row>
    <row r="34" s="166" customFormat="true" ht="13.5" hidden="false" customHeight="true" outlineLevel="0" collapsed="false">
      <c r="B34" s="202"/>
      <c r="C34" s="202"/>
      <c r="D34" s="202"/>
      <c r="E34" s="202"/>
      <c r="F34" s="202"/>
    </row>
    <row r="35" s="166" customFormat="true" ht="27" hidden="false" customHeight="true" outlineLevel="0" collapsed="false">
      <c r="B35" s="47" t="s">
        <v>269</v>
      </c>
      <c r="C35" s="47"/>
      <c r="D35" s="47" t="s">
        <v>298</v>
      </c>
      <c r="E35" s="47" t="s">
        <v>299</v>
      </c>
      <c r="F35" s="47" t="s">
        <v>300</v>
      </c>
    </row>
    <row r="36" s="166" customFormat="true" ht="27" hidden="false" customHeight="true" outlineLevel="0" collapsed="false">
      <c r="B36" s="47"/>
      <c r="C36" s="47"/>
      <c r="D36" s="47"/>
      <c r="E36" s="47"/>
      <c r="F36" s="47"/>
    </row>
    <row r="37" s="166" customFormat="true" ht="45.6" hidden="false" customHeight="true" outlineLevel="0" collapsed="false">
      <c r="B37" s="47"/>
      <c r="C37" s="47"/>
      <c r="D37" s="47" t="s">
        <v>135</v>
      </c>
      <c r="E37" s="47" t="s">
        <v>310</v>
      </c>
      <c r="F37" s="47" t="s">
        <v>302</v>
      </c>
    </row>
    <row r="38" s="166" customFormat="true" ht="19.3" hidden="false" customHeight="true" outlineLevel="0" collapsed="false">
      <c r="B38" s="84" t="s">
        <v>303</v>
      </c>
      <c r="C38" s="88" t="s">
        <v>274</v>
      </c>
      <c r="D38" s="205" t="n">
        <f aca="false">'INSERÇÃO-DE-DADOS_PRODUTIVIDADE'!G9</f>
        <v>428.93</v>
      </c>
      <c r="E38" s="206" t="n">
        <f aca="false">F12</f>
        <v>4.02570196473346</v>
      </c>
      <c r="F38" s="207" t="n">
        <f aca="false">D38*E38</f>
        <v>1726.74434373312</v>
      </c>
    </row>
    <row r="39" s="166" customFormat="true" ht="19.3" hidden="false" customHeight="true" outlineLevel="0" collapsed="false">
      <c r="B39" s="84"/>
      <c r="C39" s="88" t="s">
        <v>277</v>
      </c>
      <c r="D39" s="205" t="n">
        <f aca="false">'INSERÇÃO-DE-DADOS_PRODUTIVIDADE'!G10</f>
        <v>0</v>
      </c>
      <c r="E39" s="206" t="n">
        <f aca="false">F13</f>
        <v>2.14704104785785</v>
      </c>
      <c r="F39" s="207" t="n">
        <f aca="false">D39*E39</f>
        <v>0</v>
      </c>
    </row>
    <row r="40" s="166" customFormat="true" ht="19.3" hidden="false" customHeight="true" outlineLevel="0" collapsed="false">
      <c r="B40" s="84"/>
      <c r="C40" s="88" t="s">
        <v>279</v>
      </c>
      <c r="D40" s="205" t="n">
        <f aca="false">'INSERÇÃO-DE-DADOS_PRODUTIVIDADE'!G11</f>
        <v>32.38</v>
      </c>
      <c r="E40" s="206" t="n">
        <f aca="false">F14</f>
        <v>16.1028078589338</v>
      </c>
      <c r="F40" s="207" t="n">
        <f aca="false">D40*E40</f>
        <v>521.408918472278</v>
      </c>
    </row>
    <row r="41" s="166" customFormat="true" ht="19.3" hidden="false" customHeight="true" outlineLevel="0" collapsed="false">
      <c r="B41" s="84" t="s">
        <v>304</v>
      </c>
      <c r="C41" s="88" t="s">
        <v>282</v>
      </c>
      <c r="D41" s="205" t="n">
        <f aca="false">'INSERÇÃO-DE-DADOS_PRODUTIVIDADE'!G12</f>
        <v>401.47</v>
      </c>
      <c r="E41" s="205" t="n">
        <f aca="false">F20</f>
        <v>1.78920087321487</v>
      </c>
      <c r="F41" s="207" t="n">
        <f aca="false">D41*E41</f>
        <v>718.310474569575</v>
      </c>
    </row>
    <row r="42" s="166" customFormat="true" ht="49.15" hidden="false" customHeight="true" outlineLevel="0" collapsed="false">
      <c r="B42" s="84"/>
      <c r="C42" s="88" t="s">
        <v>284</v>
      </c>
      <c r="D42" s="205" t="n">
        <f aca="false">'INSERÇÃO-DE-DADOS_PRODUTIVIDADE'!G13</f>
        <v>564.23</v>
      </c>
      <c r="E42" s="205" t="n">
        <f aca="false">F21</f>
        <v>0.536760261964463</v>
      </c>
      <c r="F42" s="207" t="n">
        <f aca="false">D42*E42</f>
        <v>302.856242608209</v>
      </c>
    </row>
    <row r="43" s="166" customFormat="true" ht="19.3" hidden="false" customHeight="true" outlineLevel="0" collapsed="false">
      <c r="B43" s="84"/>
      <c r="C43" s="88" t="s">
        <v>286</v>
      </c>
      <c r="D43" s="205" t="n">
        <f aca="false">'INSERÇÃO-DE-DADOS_PRODUTIVIDADE'!G14</f>
        <v>131.69</v>
      </c>
      <c r="E43" s="205" t="n">
        <f aca="false">F22</f>
        <v>1.78920087321487</v>
      </c>
      <c r="F43" s="207" t="n">
        <f aca="false">D43*E43</f>
        <v>235.619862993667</v>
      </c>
    </row>
    <row r="44" s="166" customFormat="true" ht="19.3" hidden="false" customHeight="true" outlineLevel="0" collapsed="false">
      <c r="B44" s="84" t="s">
        <v>305</v>
      </c>
      <c r="C44" s="88" t="s">
        <v>293</v>
      </c>
      <c r="D44" s="205" t="n">
        <f aca="false">'INSERÇÃO-DE-DADOS_PRODUTIVIDADE'!G15</f>
        <v>49.71</v>
      </c>
      <c r="E44" s="206" t="n">
        <f aca="false">I29</f>
        <v>0.910865899091208</v>
      </c>
      <c r="F44" s="207" t="n">
        <f aca="false">D44*E44</f>
        <v>45.2791438438239</v>
      </c>
    </row>
    <row r="45" s="166" customFormat="true" ht="19.3" hidden="false" customHeight="true" outlineLevel="0" collapsed="false">
      <c r="B45" s="84"/>
      <c r="C45" s="88" t="s">
        <v>294</v>
      </c>
      <c r="D45" s="205" t="n">
        <f aca="false">'INSERÇÃO-DE-DADOS_PRODUTIVIDADE'!G16</f>
        <v>49.71</v>
      </c>
      <c r="E45" s="206" t="n">
        <f aca="false">I30</f>
        <v>0.910865899091208</v>
      </c>
      <c r="F45" s="207" t="n">
        <f aca="false">D45*E45</f>
        <v>45.2791438438239</v>
      </c>
    </row>
    <row r="46" s="166" customFormat="true" ht="16.65" hidden="false" customHeight="true" outlineLevel="0" collapsed="false">
      <c r="B46" s="208" t="s">
        <v>317</v>
      </c>
      <c r="C46" s="208"/>
      <c r="D46" s="208"/>
      <c r="E46" s="208"/>
      <c r="F46" s="209" t="n">
        <f aca="false">SUM(F38:F45)</f>
        <v>3595.4981300645</v>
      </c>
    </row>
    <row r="47" customFormat="false" ht="13.8" hidden="false" customHeight="false" outlineLevel="0" collapsed="false">
      <c r="G47" s="166"/>
      <c r="H47" s="166"/>
    </row>
    <row r="48" s="191" customFormat="true" ht="13.5" hidden="false" customHeight="true" outlineLevel="0" collapsed="false">
      <c r="C48" s="210"/>
    </row>
    <row r="49" customFormat="false" ht="13.5" hidden="false" customHeight="true" outlineLevel="0" collapsed="false">
      <c r="I49" s="166"/>
    </row>
    <row r="50" customFormat="false" ht="14.25" hidden="false" customHeight="true" outlineLevel="0" collapsed="false">
      <c r="I50" s="166"/>
    </row>
    <row r="51" customFormat="false" ht="13.8" hidden="false" customHeight="false" outlineLevel="0" collapsed="false">
      <c r="I51" s="166"/>
    </row>
    <row r="52" customFormat="false" ht="13.8" hidden="false" customHeight="false" outlineLevel="0" collapsed="false">
      <c r="I52" s="166"/>
    </row>
    <row r="53" customFormat="false" ht="13.8" hidden="false" customHeight="false" outlineLevel="0" collapsed="false">
      <c r="I53" s="166"/>
    </row>
    <row r="54" customFormat="false" ht="36" hidden="false" customHeight="true" outlineLevel="0" collapsed="false">
      <c r="I54" s="166"/>
    </row>
    <row r="55" customFormat="false" ht="13.8" hidden="false" customHeight="false" outlineLevel="0" collapsed="false">
      <c r="I55" s="166"/>
    </row>
    <row r="56" customFormat="false" ht="49.5" hidden="false" customHeight="true" outlineLevel="0" collapsed="false">
      <c r="I56" s="166"/>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87"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sheetPr filterMode="false">
    <pageSetUpPr fitToPage="false"/>
  </sheetPr>
  <dimension ref="B1:N153"/>
  <sheetViews>
    <sheetView showFormulas="false" showGridLines="true" showRowColHeaders="true" showZeros="true" rightToLeft="false" tabSelected="false" showOutlineSymbols="true" defaultGridColor="true" view="normal" topLeftCell="A64"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61" width="18.85"/>
    <col collapsed="false" customWidth="true" hidden="false" outlineLevel="0" max="9" min="9" style="161" width="14.86"/>
    <col collapsed="false" customWidth="true" hidden="false" outlineLevel="0" max="10" min="10" style="161" width="12.71"/>
    <col collapsed="false" customWidth="true" hidden="false" outlineLevel="0" max="11" min="11" style="161" width="14.01"/>
    <col collapsed="false" customWidth="true" hidden="false" outlineLevel="0" max="12" min="12" style="162" width="13.7"/>
    <col collapsed="false" customWidth="true" hidden="false" outlineLevel="0" max="13" min="13" style="162" width="9.42"/>
    <col collapsed="false" customWidth="true" hidden="false" outlineLevel="0" max="14" min="14" style="162" width="12.86"/>
    <col collapsed="false" customWidth="true" hidden="false" outlineLevel="0" max="1025" min="15" style="1" width="9.13"/>
  </cols>
  <sheetData>
    <row r="1" s="1" customFormat="true" ht="20.25" hidden="false" customHeight="fals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false" outlineLevel="0" collapsed="false">
      <c r="B3" s="6" t="s">
        <v>318</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262</v>
      </c>
      <c r="D12" s="123"/>
      <c r="E12" s="123"/>
      <c r="F12" s="24" t="n">
        <f aca="false">IF(QTDE_DE_SERV=0,"",QTDE_DE_SERV)</f>
        <v>6</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'INSERÇÃO-DE-DADOS_MÃO DE OBRA'!C21</f>
        <v>Servente Unidades do interior</v>
      </c>
      <c r="E16" s="24"/>
      <c r="F16" s="24"/>
    </row>
    <row r="17" s="3" customFormat="true" ht="15" hidden="false" customHeight="true" outlineLevel="0" collapsed="false">
      <c r="B17" s="17" t="n">
        <v>4</v>
      </c>
      <c r="C17" s="10" t="s">
        <v>45</v>
      </c>
      <c r="D17" s="10"/>
      <c r="E17" s="10"/>
      <c r="F17" s="163"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SALARIO_NORMATIVO_SERV</f>
        <v>1032</v>
      </c>
    </row>
    <row r="22" s="1" customFormat="true" ht="16.5" hidden="false" customHeight="true" outlineLevel="0" collapsed="false">
      <c r="B22" s="19" t="s">
        <v>17</v>
      </c>
      <c r="C22" s="23" t="s">
        <v>246</v>
      </c>
      <c r="D22" s="23"/>
      <c r="E22" s="23"/>
      <c r="F22" s="133" t="n">
        <f aca="false">IF(ADIC_INSALUB_SERV="SIM",PERC_ADIC_INSALUB%*SAL_MINIMO,0)</f>
        <v>0</v>
      </c>
    </row>
    <row r="23" customFormat="false" ht="16.4" hidden="false" customHeight="false" outlineLevel="0" collapsed="false">
      <c r="B23" s="19" t="s">
        <v>19</v>
      </c>
      <c r="C23" s="65" t="str">
        <f aca="false">OUTROS_REMUNERACAO_1_DESCRICAO</f>
        <v>Gratificação de função (Apenas para encarregada)</v>
      </c>
      <c r="D23" s="65"/>
      <c r="E23" s="65"/>
      <c r="F23" s="132" t="n">
        <f aca="false">OUTROS_REMUNERACAO_1-'INSERÇÃO-DE-DADOS_MÃO DE OBRA'!F33</f>
        <v>0</v>
      </c>
    </row>
    <row r="24" customFormat="false" ht="15.75" hidden="false" customHeight="true" outlineLevel="0" collapsed="false">
      <c r="B24" s="19" t="s">
        <v>22</v>
      </c>
      <c r="C24" s="48" t="str">
        <f aca="false">OUTROS_REMUNERACAO_2_DESCRICAO</f>
        <v>Outras Remunerações 2 (Especificar)</v>
      </c>
      <c r="D24" s="48"/>
      <c r="E24" s="48"/>
      <c r="F24" s="133" t="n">
        <f aca="false">OUTROS_REMUNERACAO_2</f>
        <v>0</v>
      </c>
    </row>
    <row r="25" customFormat="false" ht="15.75" hidden="false" customHeight="true" outlineLevel="0" collapsed="false">
      <c r="B25" s="19" t="s">
        <v>25</v>
      </c>
      <c r="C25" s="65" t="str">
        <f aca="false">OUTROS_REMUNERACAO_3_DESCRICAO</f>
        <v>Outras Remunerações 3 (Especificar)</v>
      </c>
      <c r="D25" s="65"/>
      <c r="E25" s="65"/>
      <c r="F25" s="132" t="n">
        <f aca="false">OUTROS_REMUNERACAO_3</f>
        <v>0</v>
      </c>
    </row>
    <row r="26" customFormat="false" ht="15.75" hidden="false" customHeight="true" outlineLevel="0" collapsed="false">
      <c r="B26" s="46" t="s">
        <v>215</v>
      </c>
      <c r="C26" s="46"/>
      <c r="D26" s="46"/>
      <c r="E26" s="46"/>
      <c r="F26" s="134" t="n">
        <f aca="false">SUM(F21:F25)</f>
        <v>1032</v>
      </c>
      <c r="L26" s="161"/>
      <c r="M26" s="161"/>
    </row>
    <row r="27" customFormat="false" ht="16.5" hidden="false" customHeight="false" outlineLevel="0" collapsed="false">
      <c r="B27" s="44" t="s">
        <v>55</v>
      </c>
      <c r="E27" s="53"/>
      <c r="F27" s="53"/>
      <c r="L27" s="161"/>
      <c r="M27" s="161"/>
    </row>
    <row r="28" customFormat="false" ht="16.5" hidden="false" customHeight="false" outlineLevel="0" collapsed="false">
      <c r="B28" s="44" t="s">
        <v>196</v>
      </c>
      <c r="C28" s="59"/>
      <c r="D28" s="60"/>
      <c r="E28" s="61"/>
      <c r="F28" s="61"/>
      <c r="L28" s="161"/>
      <c r="M28" s="161"/>
      <c r="N28" s="164"/>
    </row>
    <row r="29" customFormat="false" ht="16.5" hidden="false" customHeight="false" outlineLevel="0" collapsed="false">
      <c r="B29" s="19" t="s">
        <v>197</v>
      </c>
      <c r="C29" s="64" t="s">
        <v>198</v>
      </c>
      <c r="D29" s="64"/>
      <c r="E29" s="47" t="s">
        <v>86</v>
      </c>
      <c r="F29" s="47" t="s">
        <v>98</v>
      </c>
      <c r="L29" s="161"/>
      <c r="M29" s="161"/>
      <c r="N29" s="164"/>
    </row>
    <row r="30" customFormat="false" ht="16.5" hidden="false" customHeight="true" outlineLevel="0" collapsed="false">
      <c r="B30" s="19" t="s">
        <v>14</v>
      </c>
      <c r="C30" s="71" t="s">
        <v>200</v>
      </c>
      <c r="D30" s="71"/>
      <c r="E30" s="104" t="n">
        <f aca="false">PERC_DEC_TERC</f>
        <v>8.33333333333333</v>
      </c>
      <c r="F30" s="100" t="n">
        <f aca="false">PERC_DEC_TERC%*MOD_1_REMUNERACAO_SERV</f>
        <v>86</v>
      </c>
      <c r="L30" s="161"/>
      <c r="M30" s="161"/>
      <c r="N30" s="164"/>
    </row>
    <row r="31" customFormat="false" ht="16.5" hidden="false" customHeight="true" outlineLevel="0" collapsed="false">
      <c r="B31" s="47" t="s">
        <v>17</v>
      </c>
      <c r="C31" s="23" t="s">
        <v>202</v>
      </c>
      <c r="D31" s="23"/>
      <c r="E31" s="106" t="n">
        <f aca="false">PERC_ADIC_FERIAS</f>
        <v>2.77777777777778</v>
      </c>
      <c r="F31" s="102" t="n">
        <f aca="false">PERC_ADIC_FERIAS%*MOD_1_REMUNERACAO_SERV</f>
        <v>28.6666666666667</v>
      </c>
      <c r="L31" s="161"/>
      <c r="M31" s="161"/>
      <c r="N31" s="164"/>
    </row>
    <row r="32" customFormat="false" ht="16.5" hidden="false" customHeight="false" outlineLevel="0" collapsed="false">
      <c r="B32" s="64" t="s">
        <v>215</v>
      </c>
      <c r="C32" s="64"/>
      <c r="D32" s="64"/>
      <c r="E32" s="64"/>
      <c r="F32" s="135" t="n">
        <f aca="false">SUM(F30:F31)</f>
        <v>114.666666666667</v>
      </c>
      <c r="L32" s="161"/>
      <c r="M32" s="161"/>
    </row>
    <row r="33" customFormat="false" ht="31.6" hidden="false" customHeight="true" outlineLevel="0" collapsed="false">
      <c r="B33" s="136" t="s">
        <v>204</v>
      </c>
      <c r="C33" s="136"/>
      <c r="D33" s="136"/>
      <c r="E33" s="136"/>
      <c r="F33" s="136"/>
      <c r="L33" s="161"/>
      <c r="M33" s="161"/>
    </row>
    <row r="34" customFormat="false" ht="31.6" hidden="false" customHeight="true" outlineLevel="0" collapsed="false">
      <c r="B34" s="19" t="s">
        <v>205</v>
      </c>
      <c r="C34" s="108" t="s">
        <v>206</v>
      </c>
      <c r="D34" s="108"/>
      <c r="E34" s="47" t="s">
        <v>86</v>
      </c>
      <c r="F34" s="47" t="s">
        <v>98</v>
      </c>
      <c r="L34" s="161"/>
      <c r="M34" s="161"/>
    </row>
    <row r="35" s="105" customFormat="true" ht="16.5" hidden="false" customHeight="true" outlineLevel="0" collapsed="false">
      <c r="B35" s="19" t="s">
        <v>14</v>
      </c>
      <c r="C35" s="71" t="s">
        <v>207</v>
      </c>
      <c r="D35" s="71"/>
      <c r="E35" s="104" t="n">
        <f aca="false">PERC_INSS</f>
        <v>20</v>
      </c>
      <c r="F35" s="100" t="n">
        <f aca="false">PERC_INSS%*(MOD_1_REMUNERACAO_SERV+SUBMOD_2_1_DEC_TERC_ADIC_FERIAS_SERV)</f>
        <v>229.333333333333</v>
      </c>
      <c r="H35" s="161"/>
      <c r="I35" s="161"/>
      <c r="J35" s="161"/>
      <c r="K35" s="161"/>
      <c r="L35" s="161"/>
      <c r="M35" s="161"/>
      <c r="N35" s="162"/>
    </row>
    <row r="36" s="52" customFormat="true" ht="16.5" hidden="false" customHeight="true" outlineLevel="0" collapsed="false">
      <c r="B36" s="47" t="s">
        <v>17</v>
      </c>
      <c r="C36" s="23" t="s">
        <v>208</v>
      </c>
      <c r="D36" s="23"/>
      <c r="E36" s="109" t="n">
        <f aca="false">PERC_SAL_EDUCACAO</f>
        <v>2.5</v>
      </c>
      <c r="F36" s="102" t="n">
        <f aca="false">PERC_SAL_EDUCACAO%*(MOD_1_REMUNERACAO_SERV+SUBMOD_2_1_DEC_TERC_ADIC_FERIAS_SERV)</f>
        <v>28.6666666666667</v>
      </c>
      <c r="H36" s="161"/>
      <c r="I36" s="161"/>
      <c r="J36" s="161"/>
      <c r="K36" s="161"/>
      <c r="L36" s="161"/>
      <c r="M36" s="161"/>
      <c r="N36" s="162"/>
    </row>
    <row r="37" s="52" customFormat="true" ht="16.5" hidden="false" customHeight="true" outlineLevel="0" collapsed="false">
      <c r="B37" s="47" t="s">
        <v>19</v>
      </c>
      <c r="C37" s="71" t="s">
        <v>209</v>
      </c>
      <c r="D37" s="71"/>
      <c r="E37" s="104" t="n">
        <f aca="false">PERC_RAT</f>
        <v>3</v>
      </c>
      <c r="F37" s="100" t="n">
        <f aca="false">PERC_RAT%*(MOD_1_REMUNERACAO_SERV+SUBMOD_2_1_DEC_TERC_ADIC_FERIAS_SERV)</f>
        <v>34.4</v>
      </c>
      <c r="H37" s="161"/>
      <c r="I37" s="161"/>
      <c r="J37" s="161"/>
      <c r="K37" s="161"/>
      <c r="L37" s="161"/>
      <c r="M37" s="161"/>
      <c r="N37" s="162"/>
    </row>
    <row r="38" s="52" customFormat="true" ht="16.5" hidden="false" customHeight="true" outlineLevel="0" collapsed="false">
      <c r="B38" s="47" t="s">
        <v>22</v>
      </c>
      <c r="C38" s="23" t="s">
        <v>210</v>
      </c>
      <c r="D38" s="23"/>
      <c r="E38" s="106" t="n">
        <f aca="false">PERC_SESC</f>
        <v>1.5</v>
      </c>
      <c r="F38" s="102" t="n">
        <f aca="false">PERC_SESC%*(MOD_1_REMUNERACAO_SERV+SUBMOD_2_1_DEC_TERC_ADIC_FERIAS_SERV)</f>
        <v>17.2</v>
      </c>
      <c r="H38" s="161"/>
      <c r="I38" s="161"/>
      <c r="J38" s="161"/>
      <c r="K38" s="161"/>
      <c r="L38" s="161"/>
      <c r="M38" s="161"/>
      <c r="N38" s="162"/>
    </row>
    <row r="39" customFormat="false" ht="16.5" hidden="false" customHeight="true" outlineLevel="0" collapsed="false">
      <c r="B39" s="47" t="s">
        <v>25</v>
      </c>
      <c r="C39" s="71" t="s">
        <v>211</v>
      </c>
      <c r="D39" s="71"/>
      <c r="E39" s="104" t="n">
        <f aca="false">PERC_SENAC</f>
        <v>1</v>
      </c>
      <c r="F39" s="100" t="n">
        <f aca="false">PERC_SENAC%*(MOD_1_REMUNERACAO_SERV+SUBMOD_2_1_DEC_TERC_ADIC_FERIAS_SERV)</f>
        <v>11.4666666666667</v>
      </c>
      <c r="L39" s="161"/>
      <c r="M39" s="161"/>
    </row>
    <row r="40" s="3" customFormat="true" ht="16.5" hidden="false" customHeight="true" outlineLevel="0" collapsed="false">
      <c r="B40" s="47" t="s">
        <v>80</v>
      </c>
      <c r="C40" s="23" t="s">
        <v>212</v>
      </c>
      <c r="D40" s="23"/>
      <c r="E40" s="109" t="n">
        <f aca="false">PERC_SEBRAE</f>
        <v>0.6</v>
      </c>
      <c r="F40" s="102" t="n">
        <f aca="false">PERC_SEBRAE%*(MOD_1_REMUNERACAO_SERV+SUBMOD_2_1_DEC_TERC_ADIC_FERIAS_SERV)</f>
        <v>6.88</v>
      </c>
      <c r="H40" s="162"/>
      <c r="I40" s="162"/>
      <c r="J40" s="162"/>
      <c r="K40" s="162"/>
      <c r="L40" s="162"/>
      <c r="M40" s="162"/>
      <c r="N40" s="162"/>
    </row>
    <row r="41" s="3" customFormat="true" ht="16.5" hidden="false" customHeight="true" outlineLevel="0" collapsed="false">
      <c r="B41" s="47" t="s">
        <v>170</v>
      </c>
      <c r="C41" s="71" t="s">
        <v>213</v>
      </c>
      <c r="D41" s="71"/>
      <c r="E41" s="104" t="n">
        <f aca="false">PERC_INCRA</f>
        <v>0.2</v>
      </c>
      <c r="F41" s="100" t="n">
        <f aca="false">PERC_INCRA%*(MOD_1_REMUNERACAO_SERV+SUBMOD_2_1_DEC_TERC_ADIC_FERIAS_SERV)</f>
        <v>2.29333333333333</v>
      </c>
      <c r="H41" s="162"/>
      <c r="I41" s="162"/>
      <c r="J41" s="162"/>
      <c r="K41" s="162"/>
      <c r="L41" s="162"/>
      <c r="M41" s="162"/>
      <c r="N41" s="162"/>
    </row>
    <row r="42" s="3" customFormat="true" ht="16.5" hidden="false" customHeight="true" outlineLevel="0" collapsed="false">
      <c r="B42" s="47" t="s">
        <v>172</v>
      </c>
      <c r="C42" s="23" t="s">
        <v>214</v>
      </c>
      <c r="D42" s="23"/>
      <c r="E42" s="109" t="n">
        <f aca="false">PERC_FGTS</f>
        <v>8</v>
      </c>
      <c r="F42" s="102" t="n">
        <f aca="false">PERC_FGTS%*(MOD_1_REMUNERACAO_SERV+SUBMOD_2_1_DEC_TERC_ADIC_FERIAS_SERV)</f>
        <v>91.7333333333333</v>
      </c>
      <c r="H42" s="162"/>
      <c r="I42" s="162"/>
      <c r="J42" s="162"/>
      <c r="K42" s="162"/>
      <c r="L42" s="162"/>
      <c r="M42" s="162"/>
      <c r="N42" s="162"/>
    </row>
    <row r="43" s="3" customFormat="true" ht="16.5" hidden="false" customHeight="false" outlineLevel="0" collapsed="false">
      <c r="B43" s="64" t="s">
        <v>215</v>
      </c>
      <c r="C43" s="64"/>
      <c r="D43" s="64"/>
      <c r="E43" s="64"/>
      <c r="F43" s="137" t="n">
        <f aca="false">SUM(F35:F42)</f>
        <v>421.973333333333</v>
      </c>
      <c r="H43" s="162"/>
      <c r="I43" s="162"/>
      <c r="J43" s="162"/>
      <c r="K43" s="162"/>
      <c r="L43" s="162"/>
      <c r="M43" s="162"/>
      <c r="N43" s="162"/>
    </row>
    <row r="44" s="13" customFormat="true" ht="16.5" hidden="false" customHeight="false" outlineLevel="0" collapsed="false">
      <c r="B44" s="44" t="s">
        <v>56</v>
      </c>
      <c r="H44" s="162"/>
      <c r="I44" s="162"/>
      <c r="J44" s="162"/>
      <c r="K44" s="162"/>
      <c r="L44" s="162"/>
      <c r="M44" s="162"/>
      <c r="N44" s="162"/>
    </row>
    <row r="45" s="13" customFormat="true" ht="16.5" hidden="false" customHeight="true" outlineLevel="0" collapsed="false">
      <c r="B45" s="19" t="s">
        <v>57</v>
      </c>
      <c r="C45" s="46" t="s">
        <v>58</v>
      </c>
      <c r="D45" s="46"/>
      <c r="E45" s="46"/>
      <c r="F45" s="47" t="s">
        <v>98</v>
      </c>
      <c r="H45" s="165"/>
      <c r="I45" s="165"/>
      <c r="J45" s="165"/>
      <c r="K45" s="165"/>
      <c r="L45" s="165"/>
      <c r="M45" s="165"/>
      <c r="N45" s="165"/>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IF(DIAS_TRABALHADOS_NO_MES=15,(TRANSPORTE_POR_DIA*DIAS_TRABALHADOS_NO_MES)-(PERC_DESC_TRANSP_REMUNERACAO%*(AL_1_A_SAL_BASE_SERV/2)),IF(DIAS_TRABALHADOS_NO_MES=22,('INSERÇÃO-DE-DADOS_MÃO DE OBRA'!F45*DIAS_TRABALHADOS_NO_MES)-(PERC_DESC_TRANSP_REMUNERACAO%*(AL_1_A_SAL_BASE_SERV))))</f>
        <v>103.08</v>
      </c>
      <c r="H46" s="165"/>
      <c r="I46" s="165"/>
      <c r="J46" s="165"/>
      <c r="K46" s="165"/>
      <c r="L46" s="165"/>
      <c r="M46" s="165"/>
      <c r="N46" s="165"/>
    </row>
    <row r="47" customFormat="false" ht="16.5" hidden="false" customHeight="true" outlineLevel="0" collapsed="false">
      <c r="B47" s="17" t="s">
        <v>17</v>
      </c>
      <c r="C47" s="23" t="s">
        <v>75</v>
      </c>
      <c r="D47" s="23"/>
      <c r="E47" s="23"/>
      <c r="F47" s="102" t="n">
        <f aca="false">ALIMENTACAO_POR_DIA*DIAS_TRABALHADOS_NO_MES</f>
        <v>220</v>
      </c>
      <c r="H47" s="165"/>
      <c r="I47" s="165"/>
      <c r="J47" s="165"/>
      <c r="K47" s="165"/>
      <c r="L47" s="165"/>
      <c r="M47" s="165"/>
      <c r="N47" s="165"/>
    </row>
    <row r="48" customFormat="false" ht="15.75" hidden="false" customHeight="true" outlineLevel="0" collapsed="false">
      <c r="B48" s="17" t="s">
        <v>19</v>
      </c>
      <c r="C48" s="65" t="str">
        <f aca="false">OUTROS_BENEFICIOS_1_DESCRICAO</f>
        <v>Seguro de vida em grupo</v>
      </c>
      <c r="D48" s="65"/>
      <c r="E48" s="65"/>
      <c r="F48" s="100" t="n">
        <f aca="false">OUTROS_BENEFICIOS_1</f>
        <v>6</v>
      </c>
      <c r="H48" s="165"/>
      <c r="I48" s="165"/>
      <c r="J48" s="165"/>
      <c r="K48" s="165"/>
      <c r="L48" s="165"/>
      <c r="M48" s="165"/>
      <c r="N48" s="165"/>
    </row>
    <row r="49" customFormat="false" ht="15.75" hidden="false" customHeight="true" outlineLevel="0" collapsed="false">
      <c r="B49" s="17" t="s">
        <v>22</v>
      </c>
      <c r="C49" s="48" t="str">
        <f aca="false">OUTROS_BENEFICIOS_2_DESCRICAO</f>
        <v>Assistência social familiar</v>
      </c>
      <c r="D49" s="48"/>
      <c r="E49" s="48"/>
      <c r="F49" s="102" t="n">
        <f aca="false">OUTROS_BENEFICIOS_2</f>
        <v>9.7</v>
      </c>
      <c r="L49" s="161"/>
      <c r="M49" s="161"/>
      <c r="N49" s="166"/>
    </row>
    <row r="50" customFormat="false" ht="16.5" hidden="false" customHeight="false" outlineLevel="0" collapsed="false">
      <c r="B50" s="17" t="s">
        <v>25</v>
      </c>
      <c r="C50" s="65" t="str">
        <f aca="false">OUTROS_BENEFICIOS_3_DESCRICAO</f>
        <v>Assistência e inclusão social</v>
      </c>
      <c r="D50" s="65"/>
      <c r="E50" s="65"/>
      <c r="F50" s="100" t="n">
        <f aca="false">OUTROS_BENEFICIOS_3</f>
        <v>4</v>
      </c>
      <c r="L50" s="161"/>
      <c r="M50" s="161"/>
      <c r="N50" s="166"/>
    </row>
    <row r="51" s="52" customFormat="true" ht="16.5" hidden="false" customHeight="true" outlineLevel="0" collapsed="false">
      <c r="B51" s="46" t="s">
        <v>215</v>
      </c>
      <c r="C51" s="46"/>
      <c r="D51" s="46"/>
      <c r="E51" s="46"/>
      <c r="F51" s="134" t="n">
        <f aca="false">SUM(F46:F50)</f>
        <v>342.78</v>
      </c>
      <c r="H51" s="161"/>
      <c r="I51" s="161"/>
      <c r="J51" s="161"/>
      <c r="K51" s="161"/>
      <c r="L51" s="161"/>
      <c r="M51" s="161"/>
      <c r="N51" s="166"/>
    </row>
    <row r="52" s="52" customFormat="true" ht="16.5" hidden="false" customHeight="false" outlineLevel="0" collapsed="false">
      <c r="B52" s="44" t="s">
        <v>176</v>
      </c>
      <c r="C52" s="59"/>
      <c r="D52" s="60"/>
      <c r="E52" s="61"/>
      <c r="F52" s="61"/>
      <c r="H52" s="161"/>
      <c r="I52" s="161"/>
      <c r="J52" s="161"/>
      <c r="K52" s="161"/>
      <c r="L52" s="161"/>
      <c r="M52" s="161"/>
      <c r="N52" s="162"/>
    </row>
    <row r="53" s="52" customFormat="true" ht="16.5" hidden="false" customHeight="false" outlineLevel="0" collapsed="false">
      <c r="B53" s="19" t="n">
        <v>3</v>
      </c>
      <c r="C53" s="64" t="s">
        <v>177</v>
      </c>
      <c r="D53" s="64"/>
      <c r="E53" s="47" t="s">
        <v>86</v>
      </c>
      <c r="F53" s="47" t="s">
        <v>98</v>
      </c>
      <c r="H53" s="161"/>
      <c r="I53" s="161"/>
      <c r="J53" s="161"/>
      <c r="K53" s="161"/>
      <c r="L53" s="161"/>
      <c r="M53" s="161"/>
      <c r="N53" s="162"/>
    </row>
    <row r="54" s="52" customFormat="true" ht="16.5" hidden="false" customHeight="false" outlineLevel="0" collapsed="false">
      <c r="B54" s="19" t="s">
        <v>14</v>
      </c>
      <c r="C54" s="111" t="s">
        <v>216</v>
      </c>
      <c r="D54" s="111"/>
      <c r="E54" s="104" t="n">
        <f aca="false">PERC_AVISO_PREVIO_IND</f>
        <v>0.26011</v>
      </c>
      <c r="F54" s="100" t="n">
        <f aca="false">PERC_AVISO_PREVIO_IND%*(MOD_1_REMUNERACAO_SERV+SUBMOD_2_1_DEC_TERC_ADIC_FERIAS_SERV+AL_2_2_FGTS_SERV+SUBMOD_2_3_BENEFICIOS_SERV)</f>
        <v>4.112807298</v>
      </c>
      <c r="H54" s="161"/>
      <c r="I54" s="161"/>
      <c r="J54" s="161"/>
      <c r="K54" s="161"/>
      <c r="L54" s="161"/>
      <c r="M54" s="161"/>
      <c r="N54" s="162"/>
    </row>
    <row r="55" s="52" customFormat="true" ht="15" hidden="false" customHeight="true" outlineLevel="0" collapsed="false">
      <c r="B55" s="47" t="s">
        <v>17</v>
      </c>
      <c r="C55" s="112" t="s">
        <v>218</v>
      </c>
      <c r="D55" s="112"/>
      <c r="E55" s="109" t="n">
        <f aca="false">PERC_FGTS_AVISO_PREV_IND</f>
        <v>0.0208088</v>
      </c>
      <c r="F55" s="102" t="n">
        <f aca="false">PERC_FGTS_AVISO_PREV_IND%*(MOD_1_REMUNERACAO_SERV+SUBMOD_2_1_DEC_TERC_ADIC_FERIAS_SERV)</f>
        <v>0.238607573333333</v>
      </c>
      <c r="H55" s="161"/>
      <c r="I55" s="161"/>
      <c r="J55" s="161"/>
      <c r="K55" s="161"/>
      <c r="L55" s="161"/>
      <c r="M55" s="161"/>
      <c r="N55" s="166"/>
    </row>
    <row r="56" s="52" customFormat="true" ht="31.5" hidden="false" customHeight="true" outlineLevel="0" collapsed="false">
      <c r="B56" s="47" t="s">
        <v>19</v>
      </c>
      <c r="C56" s="111" t="s">
        <v>220</v>
      </c>
      <c r="D56" s="111"/>
      <c r="E56" s="104" t="n">
        <f aca="false">PERC_MULTA_FGTS_AV_PREV_IND</f>
        <v>0.0104044</v>
      </c>
      <c r="F56" s="100" t="n">
        <f aca="false">PERC_MULTA_FGTS_AV_PREV_IND%*(MOD_1_REMUNERACAO_SERV+SUBMOD_2_1_DEC_TERC_ADIC_FERIAS_SERV)</f>
        <v>0.119303786666667</v>
      </c>
      <c r="H56" s="161"/>
      <c r="I56" s="161"/>
      <c r="J56" s="161"/>
      <c r="K56" s="161"/>
      <c r="L56" s="161"/>
      <c r="M56" s="161"/>
      <c r="N56" s="162"/>
    </row>
    <row r="57" s="52" customFormat="true" ht="15" hidden="false" customHeight="true" outlineLevel="0" collapsed="false">
      <c r="B57" s="47" t="s">
        <v>22</v>
      </c>
      <c r="C57" s="112" t="s">
        <v>222</v>
      </c>
      <c r="D57" s="112"/>
      <c r="E57" s="109" t="n">
        <f aca="false">PERC_AVISO_PREVIO_TRAB</f>
        <v>1.03286322222222</v>
      </c>
      <c r="F57" s="102" t="n">
        <f aca="false">PERC_AVISO_PREVIO_TRAB%*(MOD_1_REMUNERACAO_SERV+SUBMOD_2_1_DEC_TERC_ADIC_FERIAS_SERV+SUBMOD_2_2_GPS_FGTS_SERV+SUBMOD_2_3_BENEFICIOS_SERV)</f>
        <v>19.7423542022</v>
      </c>
      <c r="H57" s="161"/>
      <c r="I57" s="161"/>
      <c r="J57" s="161"/>
      <c r="K57" s="161"/>
      <c r="L57" s="161"/>
      <c r="M57" s="161"/>
      <c r="N57" s="162"/>
    </row>
    <row r="58" s="52" customFormat="true" ht="33.75" hidden="false" customHeight="true" outlineLevel="0" collapsed="false">
      <c r="B58" s="47" t="s">
        <v>25</v>
      </c>
      <c r="C58" s="111" t="s">
        <v>224</v>
      </c>
      <c r="D58" s="111"/>
      <c r="E58" s="104" t="n">
        <f aca="false">PERC_GPS_FGTS_AVISO_PREVIO_TRAB</f>
        <v>0.380093665777778</v>
      </c>
      <c r="F58" s="100" t="n">
        <f aca="false">PERC_GPS_FGTS_AVISO_PREVIO_TRAB%*(MOD_1_REMUNERACAO_SERV+SUBMOD_2_1_DEC_TERC_ADIC_FERIAS_SERV)</f>
        <v>4.35840736758519</v>
      </c>
      <c r="H58" s="161"/>
      <c r="I58" s="161"/>
      <c r="J58" s="161"/>
      <c r="K58" s="161"/>
      <c r="L58" s="161"/>
      <c r="M58" s="161"/>
      <c r="N58" s="167"/>
    </row>
    <row r="59" s="52" customFormat="true" ht="32.25" hidden="false" customHeight="true" outlineLevel="0" collapsed="false">
      <c r="B59" s="47" t="s">
        <v>80</v>
      </c>
      <c r="C59" s="112" t="s">
        <v>226</v>
      </c>
      <c r="D59" s="112"/>
      <c r="E59" s="109" t="n">
        <f aca="false">PERC_MULTA_FGTS_AV_PREV_TRAB</f>
        <v>0.05</v>
      </c>
      <c r="F59" s="102" t="n">
        <f aca="false">PERC_MULTA_FGTS_AV_PREV_TRAB%*(MOD_1_REMUNERACAO_SERV+SUBMOD_2_1_DEC_TERC_ADIC_FERIAS_SERV)</f>
        <v>0.573333333333333</v>
      </c>
      <c r="H59" s="161"/>
      <c r="I59" s="161"/>
      <c r="J59" s="161"/>
      <c r="K59" s="161"/>
      <c r="L59" s="161"/>
      <c r="M59" s="161"/>
      <c r="N59" s="162"/>
    </row>
    <row r="60" s="3" customFormat="true" ht="16.5" hidden="false" customHeight="false" outlineLevel="0" collapsed="false">
      <c r="B60" s="64" t="s">
        <v>215</v>
      </c>
      <c r="C60" s="64"/>
      <c r="D60" s="64"/>
      <c r="E60" s="64"/>
      <c r="F60" s="135" t="n">
        <f aca="false">SUM(F54:F59)</f>
        <v>29.1448135611185</v>
      </c>
      <c r="H60" s="161"/>
      <c r="I60" s="161"/>
      <c r="J60" s="161"/>
      <c r="K60" s="161"/>
      <c r="L60" s="161"/>
      <c r="M60" s="161"/>
      <c r="N60" s="162"/>
    </row>
    <row r="61" s="3" customFormat="true" ht="16.5" hidden="false" customHeight="false" outlineLevel="0" collapsed="false">
      <c r="B61" s="44" t="s">
        <v>82</v>
      </c>
      <c r="C61" s="59"/>
      <c r="D61" s="60"/>
      <c r="E61" s="1"/>
      <c r="F61" s="1"/>
      <c r="H61" s="161"/>
      <c r="I61" s="161"/>
      <c r="J61" s="161"/>
      <c r="K61" s="161"/>
      <c r="L61" s="161"/>
      <c r="M61" s="161"/>
      <c r="N61" s="162"/>
    </row>
    <row r="62" s="3" customFormat="true" ht="16.5" hidden="false" customHeight="false" outlineLevel="0" collapsed="false">
      <c r="B62" s="44" t="s">
        <v>83</v>
      </c>
      <c r="C62" s="59"/>
      <c r="D62" s="60"/>
      <c r="E62" s="61"/>
      <c r="F62" s="61"/>
      <c r="H62" s="168"/>
      <c r="I62" s="168"/>
      <c r="J62" s="168"/>
      <c r="K62" s="168"/>
      <c r="L62" s="161"/>
      <c r="M62" s="161"/>
      <c r="N62" s="162"/>
    </row>
    <row r="63" s="3" customFormat="true" ht="16.5" hidden="false" customHeight="true" outlineLevel="0" collapsed="false">
      <c r="B63" s="19" t="s">
        <v>84</v>
      </c>
      <c r="C63" s="46" t="s">
        <v>85</v>
      </c>
      <c r="D63" s="46"/>
      <c r="E63" s="47" t="s">
        <v>86</v>
      </c>
      <c r="F63" s="47" t="s">
        <v>98</v>
      </c>
      <c r="H63" s="168"/>
      <c r="I63" s="168"/>
      <c r="J63" s="168"/>
      <c r="K63" s="168"/>
      <c r="L63" s="161"/>
      <c r="M63" s="161"/>
      <c r="N63" s="162"/>
    </row>
    <row r="64" customFormat="false" ht="16.5" hidden="false" customHeight="true" outlineLevel="0" collapsed="false">
      <c r="B64" s="47" t="s">
        <v>14</v>
      </c>
      <c r="C64" s="71" t="s">
        <v>228</v>
      </c>
      <c r="D64" s="71"/>
      <c r="E64" s="104" t="n">
        <f aca="false">PERC_SUBSTITUTO_FERIAS</f>
        <v>8.33333333333333</v>
      </c>
      <c r="F64" s="100" t="n">
        <f aca="false">PERC_SUBSTITUTO_FERIAS%*(MOD_1_REMUNERACAO_SERV+MOD_2_ENCARGOS_BENEFICIOS_SERV+MOD_3_PROVISAO_RESCISAO_SERV)</f>
        <v>161.713734463426</v>
      </c>
      <c r="H64" s="168"/>
      <c r="I64" s="168"/>
      <c r="J64" s="168"/>
      <c r="K64" s="168"/>
      <c r="L64" s="161"/>
      <c r="M64" s="161"/>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PERC_SUBSTITUTO_AUSENCIAS_LEGAIS%*(MOD_1_REMUNERACAO_SERV+MOD_2_ENCARGOS_BENEFICIOS_SERV+MOD_3_PROVISAO_RESCISAO_SERV)</f>
        <v>43.1236625235804</v>
      </c>
      <c r="H65" s="168"/>
      <c r="I65" s="168"/>
      <c r="J65" s="168"/>
      <c r="K65" s="168"/>
      <c r="L65" s="161"/>
      <c r="M65" s="161"/>
      <c r="N65" s="162"/>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PERC_SUBSTITUTO_LICENCA_PATERNIDADE%*(MOD_1_REMUNERACAO_SERV+MOD_2_ENCARGOS_BENEFICIOS_SERV+MOD_3_PROVISAO_RESCISAO_SERV)</f>
        <v>0.692268466857288</v>
      </c>
      <c r="H66" s="168"/>
      <c r="I66" s="168"/>
      <c r="J66" s="168"/>
      <c r="K66" s="168"/>
      <c r="L66" s="161"/>
      <c r="M66" s="161"/>
      <c r="N66" s="168"/>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PERC_SUBSTITUTO_ACID_TRAB%*(MOD_1_REMUNERACAO_SERV+MOD_2_ENCARGOS_BENEFICIOS_SERV+MOD_3_PROVISAO_RESCISAO_SERV)</f>
        <v>0.359590986194818</v>
      </c>
      <c r="H67" s="168"/>
      <c r="I67" s="168"/>
      <c r="J67" s="168"/>
      <c r="K67" s="168"/>
      <c r="L67" s="161"/>
      <c r="M67" s="161"/>
      <c r="N67" s="168"/>
    </row>
    <row r="68" s="3" customFormat="true" ht="15.95" hidden="false" customHeight="true" outlineLevel="0" collapsed="false">
      <c r="B68" s="47" t="s">
        <v>25</v>
      </c>
      <c r="C68" s="71" t="s">
        <v>236</v>
      </c>
      <c r="D68" s="71"/>
      <c r="E68" s="104" t="n">
        <f aca="false">PERC_SUBSTITUTO_AFAST_MATERN</f>
        <v>0.143129184</v>
      </c>
      <c r="F68" s="100" t="n">
        <f aca="false">PERC_SUBSTITUTO_AFAST_MATERN%*(MOD_1_REMUNERACAO_SERV+MOD_2_ENCARGOS_BENEFICIOS_SERV+MOD_3_PROVISAO_RESCISAO_SERV)</f>
        <v>2.77751458264115</v>
      </c>
      <c r="H68" s="168"/>
      <c r="I68" s="168"/>
      <c r="J68" s="168"/>
      <c r="K68" s="168"/>
      <c r="L68" s="161"/>
      <c r="M68" s="161"/>
      <c r="N68" s="168"/>
    </row>
    <row r="69" s="3" customFormat="true" ht="15.95" hidden="false" customHeight="tru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PERC_SUBSTITUTO_OUTRAS_AUSENCIAS%*(MOD_1_REMUNERACAO_SERV+MOD_2_ENCARGOS_BENEFICIOS_SERV+MOD_3_PROVISAO_RESCISAO_SERV)</f>
        <v>0</v>
      </c>
      <c r="H69" s="168"/>
      <c r="I69" s="168"/>
      <c r="J69" s="168"/>
      <c r="K69" s="168"/>
      <c r="L69" s="161"/>
      <c r="M69" s="161"/>
      <c r="N69" s="168"/>
    </row>
    <row r="70" s="3" customFormat="true" ht="15.95" hidden="false" customHeight="true" outlineLevel="0" collapsed="false">
      <c r="B70" s="64" t="s">
        <v>215</v>
      </c>
      <c r="C70" s="64"/>
      <c r="D70" s="64"/>
      <c r="E70" s="64"/>
      <c r="F70" s="135" t="n">
        <f aca="false">SUM(F64:F69)</f>
        <v>208.6667710227</v>
      </c>
      <c r="H70" s="168"/>
      <c r="I70" s="168"/>
      <c r="J70" s="168"/>
      <c r="K70" s="168"/>
      <c r="L70" s="161"/>
      <c r="M70" s="161"/>
      <c r="N70" s="168"/>
    </row>
    <row r="71" s="3" customFormat="true" ht="16.5" hidden="false" customHeight="false" outlineLevel="0" collapsed="false">
      <c r="B71" s="44" t="s">
        <v>88</v>
      </c>
      <c r="C71" s="59"/>
      <c r="D71" s="60"/>
      <c r="E71" s="61"/>
      <c r="F71" s="61"/>
      <c r="H71" s="168"/>
      <c r="I71" s="168"/>
      <c r="J71" s="168"/>
      <c r="K71" s="168"/>
      <c r="L71" s="161"/>
      <c r="M71" s="161"/>
      <c r="N71" s="168"/>
    </row>
    <row r="72" s="3" customFormat="true" ht="16.5" hidden="false" customHeight="false" outlineLevel="0" collapsed="false">
      <c r="B72" s="19" t="s">
        <v>89</v>
      </c>
      <c r="C72" s="64" t="s">
        <v>90</v>
      </c>
      <c r="D72" s="64"/>
      <c r="E72" s="64"/>
      <c r="F72" s="47" t="s">
        <v>98</v>
      </c>
      <c r="H72" s="168"/>
      <c r="I72" s="168"/>
      <c r="J72" s="168"/>
      <c r="K72" s="168"/>
      <c r="L72" s="161"/>
      <c r="M72" s="161"/>
      <c r="N72" s="168"/>
    </row>
    <row r="73" s="3" customFormat="true" ht="16.5" hidden="false" customHeight="true" outlineLevel="0" collapsed="false">
      <c r="B73" s="19" t="s">
        <v>14</v>
      </c>
      <c r="C73" s="71" t="s">
        <v>247</v>
      </c>
      <c r="D73" s="71"/>
      <c r="E73" s="71"/>
      <c r="F73" s="132" t="n">
        <f aca="false">IF(DIAS_TRABALHADOS_NO_MES=15,((MOD_1_REMUNERACAO_SERV+MOD_2_ENCARGOS_BENEFICIOS_SERV+MOD_3_PROVISAO_RESCISAO_SERV)/DIVISOR_DE_HORAS)*((TEMPO_INTERVALO_REFEICAO/HORA_NORMAL)+PERC_HORA_EXTRA%)*DIAS_TRABALHADOS_NO_MES,0)</f>
        <v>0</v>
      </c>
      <c r="H73" s="168"/>
      <c r="I73" s="168"/>
      <c r="J73" s="168"/>
      <c r="K73" s="168"/>
      <c r="L73" s="161"/>
      <c r="M73" s="161"/>
      <c r="N73" s="168"/>
    </row>
    <row r="74" s="3" customFormat="true" ht="16.5" hidden="false" customHeight="false" outlineLevel="0" collapsed="false">
      <c r="B74" s="64" t="s">
        <v>215</v>
      </c>
      <c r="C74" s="64"/>
      <c r="D74" s="64"/>
      <c r="E74" s="64"/>
      <c r="F74" s="135" t="n">
        <f aca="false">SUM(F73)</f>
        <v>0</v>
      </c>
      <c r="H74" s="168"/>
      <c r="I74" s="168"/>
      <c r="J74" s="168"/>
      <c r="K74" s="168"/>
      <c r="L74" s="161"/>
      <c r="M74" s="161"/>
      <c r="N74" s="168"/>
    </row>
    <row r="75" s="3" customFormat="true" ht="16.5" hidden="false" customHeight="false" outlineLevel="0" collapsed="false">
      <c r="B75" s="44" t="s">
        <v>95</v>
      </c>
      <c r="C75" s="59"/>
      <c r="D75" s="59"/>
      <c r="E75" s="61"/>
      <c r="F75" s="61"/>
      <c r="H75" s="168"/>
      <c r="I75" s="168"/>
      <c r="J75" s="168"/>
      <c r="K75" s="168"/>
      <c r="L75" s="161"/>
      <c r="M75" s="161"/>
      <c r="N75" s="168"/>
    </row>
    <row r="76" s="3" customFormat="true" ht="16.5" hidden="false" customHeight="true" outlineLevel="0" collapsed="false">
      <c r="B76" s="66" t="n">
        <v>5</v>
      </c>
      <c r="C76" s="140" t="s">
        <v>97</v>
      </c>
      <c r="D76" s="140"/>
      <c r="E76" s="140"/>
      <c r="F76" s="141" t="s">
        <v>98</v>
      </c>
      <c r="H76" s="161"/>
      <c r="I76" s="161"/>
      <c r="J76" s="161"/>
      <c r="K76" s="161"/>
      <c r="L76" s="161"/>
      <c r="M76" s="161"/>
      <c r="N76" s="168"/>
    </row>
    <row r="77" s="3" customFormat="true" ht="16.5" hidden="false" customHeight="true" outlineLevel="0" collapsed="false">
      <c r="B77" s="142" t="s">
        <v>14</v>
      </c>
      <c r="C77" s="143" t="s">
        <v>248</v>
      </c>
      <c r="D77" s="143"/>
      <c r="E77" s="143"/>
      <c r="F77" s="144" t="n">
        <f aca="false">UNIFORMES!I14</f>
        <v>33.2241666666667</v>
      </c>
      <c r="H77" s="161"/>
      <c r="I77" s="161"/>
      <c r="J77" s="161"/>
      <c r="K77" s="161"/>
      <c r="L77" s="161"/>
      <c r="M77" s="161"/>
      <c r="N77" s="168"/>
    </row>
    <row r="78" customFormat="false" ht="16.5" hidden="false" customHeight="true" outlineLevel="0" collapsed="false">
      <c r="B78" s="142" t="s">
        <v>17</v>
      </c>
      <c r="C78" s="145" t="s">
        <v>249</v>
      </c>
      <c r="D78" s="145"/>
      <c r="E78" s="145"/>
      <c r="F78" s="146" t="n">
        <f aca="false">'MATERIAIS E EQUIPAMENTOS'!M43+'MATERIAIS E EQUIPAMENTOS'!M72</f>
        <v>458.295902777778</v>
      </c>
      <c r="L78" s="161"/>
      <c r="M78" s="161"/>
      <c r="N78" s="168"/>
    </row>
    <row r="79" customFormat="false" ht="16.5" hidden="false" customHeight="true" outlineLevel="0" collapsed="false">
      <c r="B79" s="142" t="s">
        <v>19</v>
      </c>
      <c r="C79" s="143" t="s">
        <v>250</v>
      </c>
      <c r="D79" s="143"/>
      <c r="E79" s="143"/>
      <c r="F79" s="144" t="n">
        <f aca="false">'MATERIAIS E EQUIPAMENTOS'!M94</f>
        <v>22.6162888888889</v>
      </c>
      <c r="L79" s="161"/>
      <c r="M79" s="161"/>
      <c r="N79" s="168"/>
    </row>
    <row r="80" customFormat="false" ht="15.75" hidden="false" customHeight="true" outlineLevel="0" collapsed="false">
      <c r="B80" s="142" t="s">
        <v>22</v>
      </c>
      <c r="C80" s="147" t="str">
        <f aca="false">'SERVENTE CG'!C80</f>
        <v>Outros Insumos</v>
      </c>
      <c r="D80" s="147"/>
      <c r="E80" s="147"/>
      <c r="F80" s="146"/>
      <c r="L80" s="161"/>
      <c r="M80" s="161"/>
      <c r="N80" s="161"/>
    </row>
    <row r="81" customFormat="false" ht="16.5" hidden="false" customHeight="true" outlineLevel="0" collapsed="false">
      <c r="B81" s="140" t="s">
        <v>215</v>
      </c>
      <c r="C81" s="140"/>
      <c r="D81" s="140"/>
      <c r="E81" s="140"/>
      <c r="F81" s="148" t="n">
        <f aca="false">SUM(F77:F80)</f>
        <v>514.136358333333</v>
      </c>
      <c r="L81" s="161"/>
      <c r="M81" s="161"/>
    </row>
    <row r="82" customFormat="false" ht="16.5" hidden="false" customHeight="true" outlineLevel="0" collapsed="false">
      <c r="B82" s="69" t="s">
        <v>99</v>
      </c>
      <c r="C82" s="69"/>
      <c r="D82" s="69"/>
      <c r="E82" s="69"/>
      <c r="F82" s="69"/>
      <c r="L82" s="161"/>
      <c r="M82" s="161"/>
    </row>
    <row r="83" customFormat="false" ht="16.5" hidden="false" customHeight="false" outlineLevel="0" collapsed="false">
      <c r="B83" s="19" t="n">
        <v>6</v>
      </c>
      <c r="C83" s="64" t="s">
        <v>252</v>
      </c>
      <c r="D83" s="64"/>
      <c r="E83" s="47" t="s">
        <v>86</v>
      </c>
      <c r="F83" s="47" t="s">
        <v>98</v>
      </c>
      <c r="L83" s="161"/>
      <c r="M83" s="161"/>
    </row>
    <row r="84" customFormat="false" ht="16.5" hidden="false" customHeight="true" outlineLevel="0" collapsed="false">
      <c r="B84" s="19" t="s">
        <v>14</v>
      </c>
      <c r="C84" s="71" t="s">
        <v>107</v>
      </c>
      <c r="D84" s="71"/>
      <c r="E84" s="149" t="n">
        <f aca="false">'INSERÇÃO-DE-DADOS_MÃO DE OBRA'!H68</f>
        <v>4.73</v>
      </c>
      <c r="F84" s="100" t="n">
        <f aca="false">E84%*(MOD_1_REMUNERACAO_SERV+MOD_2_ENCARGOS_BENEFICIOS_SERV+MOD_3_PROVISAO_RESCISAO_SERV+MOD_4_CUSTO_REPOSICAO_SERV+MOD_5_INSUMOS_SERV)</f>
        <v>125.977303699981</v>
      </c>
      <c r="L84" s="161"/>
      <c r="M84" s="161"/>
    </row>
    <row r="85" customFormat="false" ht="16.5" hidden="false" customHeight="true" outlineLevel="0" collapsed="false">
      <c r="B85" s="47" t="s">
        <v>17</v>
      </c>
      <c r="C85" s="23" t="s">
        <v>108</v>
      </c>
      <c r="D85" s="23"/>
      <c r="E85" s="150" t="n">
        <f aca="false">'INSERÇÃO-DE-DADOS_MÃO DE OBRA'!H69</f>
        <v>5.57</v>
      </c>
      <c r="F85" s="102" t="n">
        <f aca="false">E85%*(MOD_1_REMUNERACAO_SERV+MOD_2_ENCARGOS_BENEFICIOS_SERV+MOD_3_PROVISAO_RESCISAO_SERV+MOD_4_CUSTO_REPOSICAO_SERV+MOD_5_INSUMOS_SERV+AL_6_A_CUSTOS_INDIRETOS_SERV)</f>
        <v>155.366530236574</v>
      </c>
      <c r="L85" s="161"/>
      <c r="M85" s="161"/>
    </row>
    <row r="86" customFormat="false" ht="15" hidden="false" customHeight="true" outlineLevel="0" collapsed="false">
      <c r="B86" s="47" t="s">
        <v>19</v>
      </c>
      <c r="C86" s="71" t="s">
        <v>253</v>
      </c>
      <c r="D86" s="71"/>
      <c r="E86" s="149" t="n">
        <f aca="false">SUM(E87:E89)</f>
        <v>8.65</v>
      </c>
      <c r="F86" s="100" t="n">
        <f aca="false">SUM(F87:F89)</f>
        <v>278.836966281167</v>
      </c>
      <c r="L86" s="161"/>
      <c r="M86" s="161"/>
    </row>
    <row r="87" customFormat="false" ht="16.5" hidden="false" customHeight="true" outlineLevel="0" collapsed="false">
      <c r="B87" s="73" t="s">
        <v>109</v>
      </c>
      <c r="C87" s="151" t="s">
        <v>110</v>
      </c>
      <c r="D87" s="151"/>
      <c r="E87" s="152" t="n">
        <f aca="false">'INSERÇÃO-DE-DADOS_MÃO DE OBRA'!H70</f>
        <v>0.65</v>
      </c>
      <c r="F87" s="153" t="n">
        <f aca="false">((MOD_1_REMUNERACAO_SERV+MOD_2_ENCARGOS_BENEFICIOS_SERV+MOD_3_PROVISAO_RESCISAO_SERV+MOD_4_CUSTO_REPOSICAO_SERV+MOD_5_INSUMOS_SERV+AL_6_A_CUSTOS_INDIRETOS_SERV+AL_6_B_LUCRO_SERV)*E87%)/(1-PERC_TRIBUTOS%)</f>
        <v>20.9530668303767</v>
      </c>
      <c r="L87" s="161"/>
      <c r="M87" s="161"/>
    </row>
    <row r="88" customFormat="false" ht="16.5" hidden="false" customHeight="true" outlineLevel="0" collapsed="false">
      <c r="B88" s="73" t="s">
        <v>111</v>
      </c>
      <c r="C88" s="154" t="s">
        <v>112</v>
      </c>
      <c r="D88" s="154"/>
      <c r="E88" s="155" t="n">
        <f aca="false">'INSERÇÃO-DE-DADOS_MÃO DE OBRA'!H71</f>
        <v>3</v>
      </c>
      <c r="F88" s="156" t="n">
        <f aca="false">((MOD_1_REMUNERACAO_SERV+MOD_2_ENCARGOS_BENEFICIOS_SERV+MOD_3_PROVISAO_RESCISAO_SERV+MOD_4_CUSTO_REPOSICAO_SERV+MOD_5_INSUMOS_SERV+AL_6_A_CUSTOS_INDIRETOS_SERV+AL_6_B_LUCRO_SERV)*E88%)/(1-PERC_TRIBUTOS%)</f>
        <v>96.7064622940462</v>
      </c>
      <c r="L88" s="161"/>
      <c r="M88" s="161"/>
    </row>
    <row r="89" customFormat="false" ht="15.75" hidden="false" customHeight="true" outlineLevel="0" collapsed="false">
      <c r="B89" s="73" t="s">
        <v>113</v>
      </c>
      <c r="C89" s="151" t="s">
        <v>114</v>
      </c>
      <c r="D89" s="151"/>
      <c r="E89" s="152" t="n">
        <f aca="false">'INSERÇÃO-DE-DADOS_MÃO DE OBRA'!H72</f>
        <v>5</v>
      </c>
      <c r="F89" s="153" t="n">
        <f aca="false">((MOD_1_REMUNERACAO_SERV+MOD_2_ENCARGOS_BENEFICIOS_SERV+MOD_3_PROVISAO_RESCISAO_SERV+MOD_4_CUSTO_REPOSICAO_SERV+MOD_5_INSUMOS_SERV+AL_6_A_CUSTOS_INDIRETOS_SERV+AL_6_B_LUCRO_SERV)*E89%)/(1-PERC_TRIBUTOS%)</f>
        <v>161.177437156744</v>
      </c>
      <c r="L89" s="161"/>
      <c r="M89" s="161"/>
    </row>
    <row r="90" customFormat="false" ht="16.5" hidden="false" customHeight="false" outlineLevel="0" collapsed="false">
      <c r="B90" s="64" t="s">
        <v>215</v>
      </c>
      <c r="C90" s="64"/>
      <c r="D90" s="64"/>
      <c r="E90" s="64"/>
      <c r="F90" s="157" t="n">
        <f aca="false">AL_6_A_CUSTOS_INDIRETOS_SERV+AL_6_B_LUCRO_SERV+AL_6_C_TRIBUTOS_SERV</f>
        <v>560.180800217722</v>
      </c>
      <c r="L90" s="161"/>
      <c r="M90" s="161"/>
    </row>
    <row r="91" customFormat="false" ht="15.75" hidden="false" customHeight="true" outlineLevel="0" collapsed="false">
      <c r="B91" s="158" t="s">
        <v>254</v>
      </c>
      <c r="C91" s="159"/>
      <c r="D91" s="159"/>
      <c r="E91" s="159"/>
      <c r="F91" s="160"/>
      <c r="L91" s="161"/>
      <c r="M91" s="161"/>
    </row>
    <row r="92" customFormat="false" ht="16.5" hidden="false" customHeight="true" outlineLevel="0" collapsed="false">
      <c r="B92" s="47" t="s">
        <v>255</v>
      </c>
      <c r="C92" s="46" t="s">
        <v>256</v>
      </c>
      <c r="D92" s="46"/>
      <c r="E92" s="46"/>
      <c r="F92" s="47" t="s">
        <v>257</v>
      </c>
      <c r="L92" s="161"/>
      <c r="M92" s="161"/>
    </row>
    <row r="93" s="67" customFormat="true" ht="16.5" hidden="false" customHeight="true" outlineLevel="0" collapsed="false">
      <c r="B93" s="19" t="n">
        <v>1</v>
      </c>
      <c r="C93" s="71" t="s">
        <v>49</v>
      </c>
      <c r="D93" s="71"/>
      <c r="E93" s="71"/>
      <c r="F93" s="100" t="n">
        <f aca="false">MOD_1_REMUNERACAO_SERV</f>
        <v>1032</v>
      </c>
      <c r="H93" s="161"/>
      <c r="I93" s="161"/>
      <c r="J93" s="161"/>
      <c r="K93" s="161"/>
      <c r="L93" s="161"/>
      <c r="M93" s="161"/>
      <c r="N93" s="162"/>
    </row>
    <row r="94" s="67" customFormat="true" ht="16.5" hidden="false" customHeight="true" outlineLevel="0" collapsed="false">
      <c r="B94" s="47" t="n">
        <v>2</v>
      </c>
      <c r="C94" s="23" t="s">
        <v>258</v>
      </c>
      <c r="D94" s="23"/>
      <c r="E94" s="23"/>
      <c r="F94" s="102" t="n">
        <f aca="false">MOD_2_ENCARGOS_BENEFICIOS_SERV</f>
        <v>879.42</v>
      </c>
      <c r="H94" s="161"/>
      <c r="I94" s="161"/>
      <c r="J94" s="161"/>
      <c r="K94" s="161"/>
      <c r="L94" s="161"/>
      <c r="M94" s="161"/>
      <c r="N94" s="162"/>
    </row>
    <row r="95" s="67" customFormat="true" ht="16.5" hidden="false" customHeight="true" outlineLevel="0" collapsed="false">
      <c r="B95" s="47" t="n">
        <v>3</v>
      </c>
      <c r="C95" s="71" t="s">
        <v>177</v>
      </c>
      <c r="D95" s="71"/>
      <c r="E95" s="71"/>
      <c r="F95" s="100" t="n">
        <f aca="false">MOD_3_PROVISAO_RESCISAO_SERV</f>
        <v>29.1448135611185</v>
      </c>
      <c r="H95" s="161"/>
      <c r="I95" s="161"/>
      <c r="J95" s="161"/>
      <c r="K95" s="161"/>
      <c r="L95" s="161"/>
      <c r="M95" s="161"/>
      <c r="N95" s="162"/>
    </row>
    <row r="96" s="70" customFormat="true" ht="16.5" hidden="false" customHeight="true" outlineLevel="0" collapsed="false">
      <c r="B96" s="47" t="n">
        <v>4</v>
      </c>
      <c r="C96" s="23" t="s">
        <v>259</v>
      </c>
      <c r="D96" s="23"/>
      <c r="E96" s="23"/>
      <c r="F96" s="102" t="n">
        <f aca="false">MOD_4_CUSTO_REPOSICAO_SERV</f>
        <v>208.6667710227</v>
      </c>
      <c r="H96" s="161"/>
      <c r="I96" s="161"/>
      <c r="J96" s="161"/>
      <c r="K96" s="161"/>
      <c r="L96" s="161"/>
      <c r="M96" s="161"/>
      <c r="N96" s="162"/>
    </row>
    <row r="97" s="67" customFormat="true" ht="16.5" hidden="false" customHeight="true" outlineLevel="0" collapsed="false">
      <c r="B97" s="47" t="n">
        <v>5</v>
      </c>
      <c r="C97" s="71" t="s">
        <v>97</v>
      </c>
      <c r="D97" s="71"/>
      <c r="E97" s="71"/>
      <c r="F97" s="100" t="n">
        <f aca="false">MOD_5_INSUMOS_SERV</f>
        <v>514.136358333333</v>
      </c>
      <c r="H97" s="161"/>
      <c r="I97" s="161"/>
      <c r="J97" s="161"/>
      <c r="K97" s="161"/>
      <c r="L97" s="161"/>
      <c r="M97" s="161"/>
      <c r="N97" s="162"/>
    </row>
    <row r="98" s="68" customFormat="true" ht="16.5" hidden="false" customHeight="true" outlineLevel="0" collapsed="false">
      <c r="B98" s="47" t="n">
        <v>6</v>
      </c>
      <c r="C98" s="23" t="s">
        <v>252</v>
      </c>
      <c r="D98" s="23"/>
      <c r="E98" s="23"/>
      <c r="F98" s="102" t="n">
        <f aca="false">MOD_6_CUSTOS_IND_LUCRO_TRIB_SERV</f>
        <v>560.180800217722</v>
      </c>
      <c r="H98" s="161"/>
      <c r="I98" s="161"/>
      <c r="J98" s="161"/>
      <c r="K98" s="161"/>
      <c r="L98" s="161"/>
      <c r="M98" s="161"/>
      <c r="N98" s="162"/>
    </row>
    <row r="99" s="68" customFormat="true" ht="16.5" hidden="false" customHeight="true" outlineLevel="0" collapsed="false">
      <c r="B99" s="46" t="s">
        <v>263</v>
      </c>
      <c r="C99" s="46"/>
      <c r="D99" s="46"/>
      <c r="E99" s="46"/>
      <c r="F99" s="157" t="n">
        <f aca="false">SUM(F93:F98)</f>
        <v>3223.54874313487</v>
      </c>
      <c r="H99" s="161"/>
      <c r="I99" s="161"/>
      <c r="J99" s="161"/>
      <c r="K99" s="161"/>
      <c r="L99" s="161"/>
      <c r="M99" s="161"/>
      <c r="N99" s="162"/>
    </row>
    <row r="100" s="68" customFormat="true" ht="16.5" hidden="false" customHeight="false" outlineLevel="0" collapsed="false">
      <c r="B100" s="1"/>
      <c r="C100" s="1"/>
      <c r="D100" s="1"/>
      <c r="E100" s="1"/>
      <c r="F100" s="1"/>
      <c r="H100" s="161"/>
      <c r="I100" s="161"/>
      <c r="J100" s="161"/>
      <c r="K100" s="161"/>
      <c r="L100" s="161"/>
      <c r="M100" s="161"/>
      <c r="N100" s="162"/>
    </row>
    <row r="101" customFormat="false" ht="16.5" hidden="false" customHeight="true" outlineLevel="0" collapsed="false">
      <c r="L101" s="161"/>
      <c r="M101" s="161"/>
    </row>
    <row r="102" customFormat="false" ht="16.5" hidden="false" customHeight="true" outlineLevel="0" collapsed="false">
      <c r="L102" s="161"/>
      <c r="M102" s="161"/>
    </row>
    <row r="103" customFormat="false" ht="16.5" hidden="false" customHeight="false" outlineLevel="0" collapsed="false">
      <c r="L103" s="161"/>
      <c r="M103" s="161"/>
    </row>
    <row r="104" customFormat="false" ht="16.5" hidden="false" customHeight="false" outlineLevel="0" collapsed="false">
      <c r="L104" s="161"/>
      <c r="M104" s="161"/>
    </row>
    <row r="105" customFormat="false" ht="16.5" hidden="false" customHeight="false" outlineLevel="0" collapsed="false">
      <c r="L105" s="161"/>
      <c r="M105" s="161"/>
    </row>
    <row r="106" customFormat="false" ht="16.5" hidden="false" customHeight="false" outlineLevel="0" collapsed="false">
      <c r="L106" s="161"/>
      <c r="M106" s="161"/>
    </row>
    <row r="107" customFormat="false" ht="16.5" hidden="false" customHeight="false" outlineLevel="0" collapsed="false">
      <c r="L107" s="161"/>
      <c r="M107" s="161"/>
    </row>
    <row r="108" customFormat="false" ht="16.5" hidden="false" customHeight="false" outlineLevel="0" collapsed="false">
      <c r="L108" s="161"/>
      <c r="M108" s="161"/>
    </row>
    <row r="109" customFormat="false" ht="16.5" hidden="false" customHeight="false" outlineLevel="0" collapsed="false">
      <c r="L109" s="161"/>
      <c r="M109" s="161"/>
      <c r="N109" s="161"/>
    </row>
    <row r="110" customFormat="false" ht="16.5" hidden="false" customHeight="false" outlineLevel="0" collapsed="false">
      <c r="L110" s="161"/>
      <c r="M110" s="161"/>
      <c r="N110" s="161"/>
    </row>
    <row r="111" customFormat="false" ht="16.5" hidden="false" customHeight="false" outlineLevel="0" collapsed="false">
      <c r="L111" s="161"/>
      <c r="M111" s="161"/>
      <c r="N111" s="161"/>
    </row>
    <row r="112" customFormat="false" ht="16.5" hidden="false" customHeight="false" outlineLevel="0" collapsed="false">
      <c r="L112" s="161"/>
      <c r="M112" s="161"/>
      <c r="N112" s="161"/>
    </row>
    <row r="113" customFormat="false" ht="16.5" hidden="false" customHeight="false" outlineLevel="0" collapsed="false">
      <c r="L113" s="161"/>
      <c r="M113" s="161"/>
      <c r="N113" s="161"/>
    </row>
    <row r="114" customFormat="false" ht="16.5" hidden="false" customHeight="false" outlineLevel="0" collapsed="false">
      <c r="L114" s="161"/>
      <c r="M114" s="161"/>
      <c r="N114" s="161"/>
    </row>
    <row r="115" customFormat="false" ht="16.5" hidden="false" customHeight="false" outlineLevel="0" collapsed="false">
      <c r="L115" s="161"/>
      <c r="M115" s="161"/>
      <c r="N115" s="161"/>
    </row>
    <row r="116" customFormat="false" ht="16.5" hidden="false" customHeight="false" outlineLevel="0" collapsed="false">
      <c r="H116" s="169"/>
      <c r="I116" s="169"/>
      <c r="J116" s="169"/>
      <c r="K116" s="169"/>
      <c r="L116" s="169"/>
      <c r="M116" s="169"/>
      <c r="N116" s="169"/>
    </row>
    <row r="117" customFormat="false" ht="16.5" hidden="false" customHeight="false" outlineLevel="0" collapsed="false">
      <c r="H117" s="169"/>
      <c r="I117" s="169"/>
      <c r="J117" s="169"/>
      <c r="K117" s="169"/>
      <c r="L117" s="169"/>
      <c r="M117" s="169"/>
      <c r="N117" s="169"/>
    </row>
    <row r="118" customFormat="false" ht="16.5" hidden="false" customHeight="false" outlineLevel="0" collapsed="false">
      <c r="H118" s="169"/>
      <c r="I118" s="169"/>
      <c r="J118" s="169"/>
      <c r="K118" s="169"/>
      <c r="L118" s="169"/>
      <c r="M118" s="169"/>
      <c r="N118" s="169"/>
    </row>
    <row r="119" customFormat="false" ht="16.5" hidden="false" customHeight="false" outlineLevel="0" collapsed="false">
      <c r="H119" s="169"/>
      <c r="I119" s="169"/>
      <c r="J119" s="169"/>
      <c r="K119" s="169"/>
      <c r="L119" s="169"/>
      <c r="M119" s="169"/>
      <c r="N119" s="169"/>
    </row>
    <row r="120" customFormat="false" ht="16.5" hidden="false" customHeight="false" outlineLevel="0" collapsed="false">
      <c r="H120" s="169"/>
      <c r="I120" s="169"/>
      <c r="J120" s="169"/>
      <c r="K120" s="169"/>
      <c r="L120" s="169"/>
      <c r="M120" s="169"/>
      <c r="N120" s="169"/>
    </row>
    <row r="121" customFormat="false" ht="16.5" hidden="false" customHeight="false" outlineLevel="0" collapsed="false">
      <c r="H121" s="170"/>
      <c r="I121" s="170"/>
      <c r="J121" s="170"/>
      <c r="K121" s="170"/>
      <c r="L121" s="170"/>
      <c r="M121" s="170"/>
      <c r="N121" s="170"/>
    </row>
    <row r="122" customFormat="false" ht="16.5" hidden="false" customHeight="false" outlineLevel="0" collapsed="false">
      <c r="H122" s="169"/>
      <c r="I122" s="169"/>
      <c r="J122" s="169"/>
      <c r="K122" s="169"/>
      <c r="L122" s="169"/>
      <c r="M122" s="169"/>
      <c r="N122" s="169"/>
    </row>
    <row r="123" customFormat="false" ht="16.5" hidden="false" customHeight="false" outlineLevel="0" collapsed="false">
      <c r="H123" s="113"/>
      <c r="I123" s="113"/>
      <c r="J123" s="113"/>
      <c r="K123" s="113"/>
      <c r="L123" s="113"/>
      <c r="M123" s="113"/>
      <c r="N123" s="113"/>
    </row>
    <row r="124" customFormat="false" ht="16.5" hidden="false" customHeight="false" outlineLevel="0" collapsed="false">
      <c r="H124" s="113"/>
      <c r="I124" s="113"/>
      <c r="J124" s="113"/>
      <c r="K124" s="113"/>
      <c r="L124" s="113"/>
      <c r="M124" s="113"/>
      <c r="N124" s="113"/>
    </row>
    <row r="125" customFormat="false" ht="16.5" hidden="false" customHeight="false" outlineLevel="0" collapsed="false">
      <c r="H125" s="113"/>
      <c r="I125" s="113"/>
      <c r="J125" s="113"/>
      <c r="K125" s="113"/>
      <c r="L125" s="113"/>
      <c r="M125" s="113"/>
      <c r="N125" s="113"/>
    </row>
    <row r="126" customFormat="false" ht="16.5" hidden="false" customHeight="false" outlineLevel="0" collapsed="false">
      <c r="H126" s="113"/>
      <c r="I126" s="113"/>
      <c r="J126" s="113"/>
      <c r="K126" s="113"/>
      <c r="L126" s="113"/>
      <c r="M126" s="113"/>
      <c r="N126" s="113"/>
    </row>
    <row r="127" customFormat="false" ht="16.5" hidden="false" customHeight="false" outlineLevel="0" collapsed="false">
      <c r="H127" s="113"/>
      <c r="I127" s="113"/>
      <c r="J127" s="113"/>
      <c r="K127" s="113"/>
      <c r="L127" s="113"/>
      <c r="M127" s="113"/>
      <c r="N127" s="113"/>
    </row>
    <row r="128" customFormat="false" ht="16.5" hidden="false" customHeight="false" outlineLevel="0" collapsed="false">
      <c r="L128" s="161"/>
      <c r="M128" s="161"/>
      <c r="N128" s="161"/>
    </row>
    <row r="129" customFormat="false" ht="16.5" hidden="false" customHeight="false" outlineLevel="0" collapsed="false">
      <c r="L129" s="161"/>
      <c r="M129" s="161"/>
      <c r="N129" s="161"/>
    </row>
    <row r="130" customFormat="false" ht="16.5" hidden="false" customHeight="false" outlineLevel="0" collapsed="false">
      <c r="L130" s="161"/>
      <c r="M130" s="161"/>
      <c r="N130" s="161"/>
    </row>
    <row r="131" customFormat="false" ht="16.5" hidden="false" customHeight="false" outlineLevel="0" collapsed="false">
      <c r="L131" s="161"/>
      <c r="M131" s="161"/>
      <c r="N131" s="161"/>
    </row>
    <row r="132" customFormat="false" ht="16.5" hidden="false" customHeight="false" outlineLevel="0" collapsed="false">
      <c r="L132" s="161"/>
      <c r="M132" s="161"/>
      <c r="N132" s="161"/>
    </row>
    <row r="133" customFormat="false" ht="16.5" hidden="false" customHeight="false" outlineLevel="0" collapsed="false">
      <c r="L133" s="161"/>
      <c r="M133" s="161"/>
      <c r="N133" s="161"/>
    </row>
    <row r="134" customFormat="false" ht="16.5" hidden="false" customHeight="false" outlineLevel="0" collapsed="false">
      <c r="L134" s="161"/>
      <c r="M134" s="161"/>
      <c r="N134" s="161"/>
    </row>
    <row r="144" customFormat="false" ht="16.5" hidden="false" customHeight="false" outlineLevel="0" collapsed="false">
      <c r="H144" s="162"/>
      <c r="I144" s="162"/>
      <c r="J144" s="162"/>
      <c r="K144" s="162"/>
    </row>
    <row r="145" customFormat="false" ht="16.5" hidden="false" customHeight="false" outlineLevel="0" collapsed="false">
      <c r="H145" s="162"/>
      <c r="I145" s="162"/>
      <c r="J145" s="162"/>
      <c r="K145" s="162"/>
    </row>
    <row r="146" customFormat="false" ht="16.5" hidden="false" customHeight="false" outlineLevel="0" collapsed="false">
      <c r="H146" s="162"/>
      <c r="I146" s="162"/>
      <c r="J146" s="162"/>
      <c r="K146" s="162"/>
    </row>
    <row r="147" customFormat="false" ht="16.5" hidden="false" customHeight="false" outlineLevel="0" collapsed="false">
      <c r="H147" s="162"/>
      <c r="I147" s="162"/>
      <c r="J147" s="162"/>
      <c r="K147" s="162"/>
    </row>
    <row r="148" customFormat="false" ht="16.5" hidden="false" customHeight="false" outlineLevel="0" collapsed="false">
      <c r="H148" s="162"/>
      <c r="I148" s="162"/>
      <c r="J148" s="162"/>
      <c r="K148" s="162"/>
    </row>
    <row r="149" customFormat="false" ht="16.5" hidden="false" customHeight="false" outlineLevel="0" collapsed="false">
      <c r="H149" s="162"/>
      <c r="I149" s="162"/>
      <c r="J149" s="162"/>
      <c r="K149" s="162"/>
    </row>
    <row r="150" customFormat="false" ht="16.5" hidden="false" customHeight="false" outlineLevel="0" collapsed="false">
      <c r="H150" s="162"/>
      <c r="I150" s="162"/>
      <c r="J150" s="162"/>
      <c r="K150" s="162"/>
    </row>
    <row r="151" customFormat="false" ht="16.5" hidden="false" customHeight="false" outlineLevel="0" collapsed="false">
      <c r="H151" s="162"/>
      <c r="I151" s="162"/>
      <c r="J151" s="162"/>
      <c r="K151" s="162"/>
    </row>
    <row r="152" customFormat="false" ht="16.5" hidden="false" customHeight="false" outlineLevel="0" collapsed="false">
      <c r="H152" s="162"/>
      <c r="I152" s="162"/>
      <c r="J152" s="162"/>
      <c r="K152" s="162"/>
    </row>
    <row r="153" customFormat="false" ht="16.5" hidden="false" customHeight="false" outlineLevel="0" collapsed="false">
      <c r="H153" s="162"/>
      <c r="I153" s="162"/>
      <c r="J153" s="162"/>
      <c r="K153" s="162"/>
    </row>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A1" activeCellId="0" sqref="A1"/>
    </sheetView>
  </sheetViews>
  <sheetFormatPr defaultRowHeight="13.8" zeroHeight="false" outlineLevelRow="0" outlineLevelCol="0"/>
  <cols>
    <col collapsed="false" customWidth="true" hidden="false" outlineLevel="0" max="1" min="1" style="166" width="1.12"/>
    <col collapsed="false" customWidth="true" hidden="false" outlineLevel="0" max="2" min="2" style="161" width="20.71"/>
    <col collapsed="false" customWidth="true" hidden="false" outlineLevel="0" max="3" min="3" style="113" width="20.42"/>
    <col collapsed="false" customWidth="true" hidden="false" outlineLevel="0" max="4" min="4" style="161" width="18.58"/>
    <col collapsed="false" customWidth="true" hidden="false" outlineLevel="0" max="5" min="5" style="161" width="17.4"/>
    <col collapsed="false" customWidth="true" hidden="false" outlineLevel="0" max="6" min="6" style="161" width="19.01"/>
    <col collapsed="false" customWidth="true" hidden="false" outlineLevel="0" max="7" min="7" style="162" width="17.71"/>
    <col collapsed="false" customWidth="true" hidden="false" outlineLevel="0" max="8" min="8" style="162" width="18.85"/>
    <col collapsed="false" customWidth="true" hidden="false" outlineLevel="0" max="9" min="9" style="162" width="17.29"/>
    <col collapsed="false" customWidth="true" hidden="false" outlineLevel="0" max="257" min="10" style="166" width="9.13"/>
    <col collapsed="false" customWidth="true" hidden="false" outlineLevel="0" max="258" min="258" style="166" width="1.12"/>
    <col collapsed="false" customWidth="true" hidden="false" outlineLevel="0" max="259" min="259" style="166" width="20.71"/>
    <col collapsed="false" customWidth="true" hidden="false" outlineLevel="0" max="260" min="260" style="166" width="23.42"/>
    <col collapsed="false" customWidth="true" hidden="false" outlineLevel="0" max="261" min="261" style="166" width="20.57"/>
    <col collapsed="false" customWidth="true" hidden="false" outlineLevel="0" max="262" min="262" style="166" width="19.99"/>
    <col collapsed="false" customWidth="true" hidden="false" outlineLevel="0" max="263" min="263" style="166" width="23.15"/>
    <col collapsed="false" customWidth="true" hidden="false" outlineLevel="0" max="264" min="264" style="166" width="13.57"/>
    <col collapsed="false" customWidth="true" hidden="false" outlineLevel="0" max="265" min="265" style="166" width="17.29"/>
    <col collapsed="false" customWidth="true" hidden="false" outlineLevel="0" max="513" min="266" style="166" width="9.13"/>
    <col collapsed="false" customWidth="true" hidden="false" outlineLevel="0" max="514" min="514" style="166" width="1.12"/>
    <col collapsed="false" customWidth="true" hidden="false" outlineLevel="0" max="515" min="515" style="166" width="20.71"/>
    <col collapsed="false" customWidth="true" hidden="false" outlineLevel="0" max="516" min="516" style="166" width="23.42"/>
    <col collapsed="false" customWidth="true" hidden="false" outlineLevel="0" max="517" min="517" style="166" width="20.57"/>
    <col collapsed="false" customWidth="true" hidden="false" outlineLevel="0" max="518" min="518" style="166" width="19.99"/>
    <col collapsed="false" customWidth="true" hidden="false" outlineLevel="0" max="519" min="519" style="166" width="23.15"/>
    <col collapsed="false" customWidth="true" hidden="false" outlineLevel="0" max="520" min="520" style="166" width="13.57"/>
    <col collapsed="false" customWidth="true" hidden="false" outlineLevel="0" max="521" min="521" style="166" width="17.29"/>
    <col collapsed="false" customWidth="true" hidden="false" outlineLevel="0" max="769" min="522" style="166" width="9.13"/>
    <col collapsed="false" customWidth="true" hidden="false" outlineLevel="0" max="770" min="770" style="166" width="1.12"/>
    <col collapsed="false" customWidth="true" hidden="false" outlineLevel="0" max="771" min="771" style="166" width="20.71"/>
    <col collapsed="false" customWidth="true" hidden="false" outlineLevel="0" max="772" min="772" style="166" width="23.42"/>
    <col collapsed="false" customWidth="true" hidden="false" outlineLevel="0" max="773" min="773" style="166" width="20.57"/>
    <col collapsed="false" customWidth="true" hidden="false" outlineLevel="0" max="774" min="774" style="166" width="19.99"/>
    <col collapsed="false" customWidth="true" hidden="false" outlineLevel="0" max="775" min="775" style="166" width="23.15"/>
    <col collapsed="false" customWidth="true" hidden="false" outlineLevel="0" max="776" min="776" style="166" width="13.57"/>
    <col collapsed="false" customWidth="true" hidden="false" outlineLevel="0" max="777" min="777" style="166" width="17.29"/>
    <col collapsed="false" customWidth="true" hidden="false" outlineLevel="0" max="1025" min="778" style="166" width="9.13"/>
  </cols>
  <sheetData>
    <row r="1" s="171" customFormat="true" ht="17.35" hidden="false" customHeight="false" outlineLevel="0" collapsed="false">
      <c r="B1" s="172" t="str">
        <f aca="false">RAMO</f>
        <v>RAMO: MINISTÉRIO PÚBLICO FEDERAL</v>
      </c>
      <c r="C1" s="172"/>
      <c r="D1" s="172"/>
      <c r="E1" s="172"/>
      <c r="F1" s="172"/>
      <c r="G1" s="172"/>
      <c r="H1" s="172"/>
      <c r="I1" s="172"/>
    </row>
    <row r="2" s="171" customFormat="true" ht="17.35" hidden="false" customHeight="false" outlineLevel="0" collapsed="false">
      <c r="B2" s="173" t="str">
        <f aca="false">UG</f>
        <v>UNIDADE GESTORA (SIGLA): PRMS</v>
      </c>
      <c r="C2" s="173"/>
      <c r="D2" s="173"/>
      <c r="E2" s="173"/>
      <c r="F2" s="173"/>
      <c r="G2" s="173"/>
      <c r="H2" s="116" t="s">
        <v>2</v>
      </c>
      <c r="I2" s="117" t="str">
        <f aca="false">IF(DATA_DO_ORCAMENTO_ESTIMATIVO="","",DATA_DO_ORCAMENTO_ESTIMATIVO)</f>
        <v/>
      </c>
    </row>
    <row r="3" customFormat="false" ht="9" hidden="false" customHeight="true" outlineLevel="0" collapsed="false"/>
    <row r="4" customFormat="false" ht="17.35" hidden="false" customHeight="false" outlineLevel="0" collapsed="false">
      <c r="B4" s="174" t="s">
        <v>264</v>
      </c>
      <c r="C4" s="174"/>
      <c r="D4" s="174"/>
      <c r="E4" s="174"/>
      <c r="F4" s="174"/>
      <c r="G4" s="174"/>
      <c r="H4" s="174"/>
      <c r="I4" s="174"/>
    </row>
    <row r="5" customFormat="false" ht="15" hidden="false" customHeight="true" outlineLevel="0" collapsed="false">
      <c r="B5" s="175" t="s">
        <v>265</v>
      </c>
      <c r="C5" s="175"/>
      <c r="D5" s="175"/>
      <c r="E5" s="175"/>
      <c r="F5" s="175"/>
      <c r="G5" s="175"/>
      <c r="H5" s="175"/>
      <c r="I5" s="175"/>
    </row>
    <row r="6" s="176" customFormat="true" ht="10.5" hidden="false" customHeight="true" outlineLevel="0" collapsed="false">
      <c r="B6" s="177"/>
      <c r="C6" s="178"/>
      <c r="D6" s="177"/>
      <c r="E6" s="177"/>
      <c r="F6" s="177"/>
      <c r="G6" s="177"/>
      <c r="H6" s="177"/>
      <c r="I6" s="177"/>
    </row>
    <row r="7" customFormat="false" ht="15" hidden="false" customHeight="true" outlineLevel="0" collapsed="false">
      <c r="B7" s="175" t="s">
        <v>319</v>
      </c>
      <c r="C7" s="175"/>
      <c r="D7" s="175"/>
      <c r="E7" s="175"/>
      <c r="F7" s="175"/>
      <c r="G7" s="175"/>
      <c r="H7" s="175"/>
      <c r="I7" s="175"/>
    </row>
    <row r="8" customFormat="false" ht="14.25" hidden="false" customHeight="true" outlineLevel="0" collapsed="false">
      <c r="B8" s="179" t="s">
        <v>267</v>
      </c>
      <c r="C8" s="179"/>
      <c r="D8" s="179"/>
      <c r="E8" s="179"/>
      <c r="F8" s="179"/>
      <c r="G8" s="179"/>
      <c r="H8" s="179"/>
      <c r="I8" s="179"/>
    </row>
    <row r="9" customFormat="false" ht="15.75" hidden="false" customHeight="true" outlineLevel="0" collapsed="false">
      <c r="B9" s="179"/>
      <c r="C9" s="179"/>
      <c r="D9" s="179"/>
      <c r="E9" s="179"/>
      <c r="F9" s="179"/>
      <c r="G9" s="179"/>
      <c r="H9" s="179"/>
      <c r="I9" s="179"/>
    </row>
    <row r="10" customFormat="false" ht="12.75" hidden="false" customHeight="true" outlineLevel="0" collapsed="false">
      <c r="A10" s="180"/>
      <c r="B10" s="19" t="s">
        <v>268</v>
      </c>
      <c r="C10" s="47" t="s">
        <v>269</v>
      </c>
      <c r="D10" s="47" t="s">
        <v>270</v>
      </c>
      <c r="E10" s="47" t="s">
        <v>271</v>
      </c>
      <c r="F10" s="47" t="s">
        <v>272</v>
      </c>
      <c r="G10" s="181"/>
      <c r="I10" s="166"/>
    </row>
    <row r="11" customFormat="false" ht="21" hidden="false" customHeight="true" outlineLevel="0" collapsed="false">
      <c r="A11" s="180"/>
      <c r="B11" s="19"/>
      <c r="C11" s="47"/>
      <c r="D11" s="47"/>
      <c r="E11" s="47"/>
      <c r="F11" s="47"/>
      <c r="G11" s="181"/>
      <c r="I11" s="166"/>
    </row>
    <row r="12" customFormat="false" ht="15.75" hidden="false" customHeight="false" outlineLevel="0" collapsed="false">
      <c r="A12" s="180"/>
      <c r="B12" s="84" t="s">
        <v>275</v>
      </c>
      <c r="C12" s="88" t="s">
        <v>274</v>
      </c>
      <c r="D12" s="183" t="n">
        <f aca="false">1/'INSERÇÃO-DE-DADOS_PRODUTIVIDADE'!N9</f>
        <v>0.00125</v>
      </c>
      <c r="E12" s="184" t="n">
        <f aca="false">'SERVENTE PP'!F99</f>
        <v>3223.54874313487</v>
      </c>
      <c r="F12" s="184" t="n">
        <f aca="false">D12*E12</f>
        <v>4.02943592891859</v>
      </c>
      <c r="G12" s="181"/>
      <c r="I12" s="166"/>
    </row>
    <row r="13" customFormat="false" ht="15.75" hidden="false" customHeight="false" outlineLevel="0" collapsed="false">
      <c r="A13" s="180"/>
      <c r="B13" s="84" t="s">
        <v>275</v>
      </c>
      <c r="C13" s="88" t="s">
        <v>277</v>
      </c>
      <c r="D13" s="183" t="n">
        <f aca="false">1/'INSERÇÃO-DE-DADOS_PRODUTIVIDADE'!N10</f>
        <v>0.000666666666666667</v>
      </c>
      <c r="E13" s="184" t="n">
        <f aca="false">'SERVENTE PP'!F99</f>
        <v>3223.54874313487</v>
      </c>
      <c r="F13" s="184" t="n">
        <f aca="false">D13*E13</f>
        <v>2.14903249542325</v>
      </c>
      <c r="G13" s="181"/>
      <c r="I13" s="166"/>
    </row>
    <row r="14" customFormat="false" ht="15.75" hidden="false" customHeight="false" outlineLevel="0" collapsed="false">
      <c r="A14" s="180"/>
      <c r="B14" s="84" t="s">
        <v>275</v>
      </c>
      <c r="C14" s="88" t="s">
        <v>279</v>
      </c>
      <c r="D14" s="183" t="n">
        <f aca="false">1/'INSERÇÃO-DE-DADOS_PRODUTIVIDADE'!N11</f>
        <v>0.005</v>
      </c>
      <c r="E14" s="184" t="n">
        <f aca="false">'SERVENTE PP'!F99</f>
        <v>3223.54874313487</v>
      </c>
      <c r="F14" s="184" t="n">
        <f aca="false">D14*E14</f>
        <v>16.1177437156744</v>
      </c>
      <c r="G14" s="181"/>
      <c r="I14" s="166"/>
    </row>
    <row r="15" customFormat="false" ht="3.75" hidden="false" customHeight="true" outlineLevel="0" collapsed="false">
      <c r="B15" s="182"/>
      <c r="C15" s="188"/>
      <c r="D15" s="189"/>
      <c r="E15" s="189"/>
      <c r="F15" s="189"/>
      <c r="G15" s="190"/>
      <c r="I15" s="166"/>
    </row>
    <row r="16" s="191" customFormat="true" ht="15.75" hidden="false" customHeight="true" outlineLevel="0" collapsed="false">
      <c r="B16" s="179" t="s">
        <v>309</v>
      </c>
      <c r="C16" s="179"/>
      <c r="D16" s="179"/>
      <c r="E16" s="179"/>
      <c r="F16" s="179"/>
      <c r="G16" s="179"/>
      <c r="H16" s="179"/>
      <c r="I16" s="179"/>
    </row>
    <row r="17" s="191" customFormat="true" ht="12.8" hidden="false" customHeight="false" outlineLevel="0" collapsed="false">
      <c r="B17" s="179"/>
      <c r="C17" s="179"/>
      <c r="D17" s="179"/>
      <c r="E17" s="179"/>
      <c r="F17" s="179"/>
      <c r="G17" s="179"/>
      <c r="H17" s="179"/>
      <c r="I17" s="179"/>
    </row>
    <row r="18" customFormat="false" ht="12.8" hidden="false" customHeight="true" outlineLevel="0" collapsed="false">
      <c r="A18" s="180"/>
      <c r="B18" s="19" t="s">
        <v>268</v>
      </c>
      <c r="C18" s="47" t="s">
        <v>269</v>
      </c>
      <c r="D18" s="47" t="s">
        <v>270</v>
      </c>
      <c r="E18" s="47" t="s">
        <v>271</v>
      </c>
      <c r="F18" s="47" t="s">
        <v>272</v>
      </c>
      <c r="G18" s="181"/>
    </row>
    <row r="19" customFormat="false" ht="31.5" hidden="false" customHeight="true" outlineLevel="0" collapsed="false">
      <c r="A19" s="180"/>
      <c r="B19" s="19"/>
      <c r="C19" s="47"/>
      <c r="D19" s="47"/>
      <c r="E19" s="47"/>
      <c r="F19" s="47"/>
      <c r="G19" s="181"/>
      <c r="H19" s="161"/>
    </row>
    <row r="20" customFormat="false" ht="15.75" hidden="false" customHeight="false" outlineLevel="0" collapsed="false">
      <c r="A20" s="180"/>
      <c r="B20" s="84" t="s">
        <v>275</v>
      </c>
      <c r="C20" s="88" t="s">
        <v>282</v>
      </c>
      <c r="D20" s="183" t="n">
        <f aca="false">1/'INSERÇÃO-DE-DADOS_PRODUTIVIDADE'!N12</f>
        <v>0.000555555555555556</v>
      </c>
      <c r="E20" s="184" t="n">
        <f aca="false">'SERVENTE PP'!F99</f>
        <v>3223.54874313487</v>
      </c>
      <c r="F20" s="184" t="n">
        <f aca="false">D20*E20</f>
        <v>1.79086041285271</v>
      </c>
      <c r="G20" s="181"/>
      <c r="H20" s="161"/>
    </row>
    <row r="21" customFormat="false" ht="46.4" hidden="false" customHeight="false" outlineLevel="0" collapsed="false">
      <c r="A21" s="180"/>
      <c r="B21" s="84" t="s">
        <v>275</v>
      </c>
      <c r="C21" s="88" t="s">
        <v>284</v>
      </c>
      <c r="D21" s="183" t="n">
        <f aca="false">1/'INSERÇÃO-DE-DADOS_PRODUTIVIDADE'!N13</f>
        <v>0.000166666666666667</v>
      </c>
      <c r="E21" s="184" t="n">
        <f aca="false">'SERVENTE PP'!F99</f>
        <v>3223.54874313487</v>
      </c>
      <c r="F21" s="184" t="n">
        <f aca="false">D21*E21</f>
        <v>0.537258123855813</v>
      </c>
      <c r="G21" s="181"/>
      <c r="H21" s="161"/>
    </row>
    <row r="22" customFormat="false" ht="15.75" hidden="false" customHeight="false" outlineLevel="0" collapsed="false">
      <c r="A22" s="180"/>
      <c r="B22" s="84" t="s">
        <v>275</v>
      </c>
      <c r="C22" s="88" t="s">
        <v>286</v>
      </c>
      <c r="D22" s="183" t="n">
        <f aca="false">1/'INSERÇÃO-DE-DADOS_PRODUTIVIDADE'!N14</f>
        <v>0.000555555555555556</v>
      </c>
      <c r="E22" s="184" t="n">
        <f aca="false">'SERVENTE PP'!F99</f>
        <v>3223.54874313487</v>
      </c>
      <c r="F22" s="184" t="n">
        <f aca="false">D22*E22</f>
        <v>1.79086041285271</v>
      </c>
      <c r="G22" s="181"/>
      <c r="H22" s="161"/>
    </row>
    <row r="23" customFormat="false" ht="3.75" hidden="false" customHeight="true" outlineLevel="0" collapsed="false">
      <c r="B23" s="182"/>
      <c r="C23" s="188"/>
      <c r="D23" s="189"/>
      <c r="E23" s="189"/>
      <c r="F23" s="189"/>
      <c r="G23" s="193"/>
      <c r="H23" s="181"/>
      <c r="I23" s="181"/>
    </row>
    <row r="24" s="191" customFormat="true" ht="12.75" hidden="false" customHeight="true" outlineLevel="0" collapsed="false">
      <c r="B24" s="179" t="s">
        <v>287</v>
      </c>
      <c r="C24" s="179"/>
      <c r="D24" s="179"/>
      <c r="E24" s="179"/>
      <c r="F24" s="179"/>
      <c r="G24" s="179"/>
      <c r="H24" s="179"/>
      <c r="I24" s="179"/>
    </row>
    <row r="25" s="191" customFormat="true" ht="15.75" hidden="false" customHeight="true" outlineLevel="0" collapsed="false">
      <c r="B25" s="179"/>
      <c r="C25" s="179"/>
      <c r="D25" s="179"/>
      <c r="E25" s="179"/>
      <c r="F25" s="179"/>
      <c r="G25" s="179"/>
      <c r="H25" s="179"/>
      <c r="I25" s="179"/>
    </row>
    <row r="26" customFormat="false" ht="12.8" hidden="false" customHeight="true" outlineLevel="0" collapsed="false">
      <c r="A26" s="180"/>
      <c r="B26" s="19" t="s">
        <v>268</v>
      </c>
      <c r="C26" s="47" t="s">
        <v>269</v>
      </c>
      <c r="D26" s="47" t="s">
        <v>270</v>
      </c>
      <c r="E26" s="47" t="s">
        <v>288</v>
      </c>
      <c r="F26" s="47" t="s">
        <v>289</v>
      </c>
      <c r="G26" s="47" t="s">
        <v>290</v>
      </c>
      <c r="H26" s="47" t="s">
        <v>291</v>
      </c>
      <c r="I26" s="47" t="s">
        <v>292</v>
      </c>
    </row>
    <row r="27" customFormat="false" ht="12.8" hidden="false" customHeight="false" outlineLevel="0" collapsed="false">
      <c r="A27" s="180"/>
      <c r="B27" s="19"/>
      <c r="C27" s="47"/>
      <c r="D27" s="47"/>
      <c r="E27" s="47"/>
      <c r="F27" s="47"/>
      <c r="G27" s="47"/>
      <c r="H27" s="47"/>
      <c r="I27" s="47"/>
    </row>
    <row r="28" customFormat="false" ht="36" hidden="false" customHeight="true" outlineLevel="0" collapsed="false">
      <c r="A28" s="180"/>
      <c r="B28" s="19"/>
      <c r="C28" s="47"/>
      <c r="D28" s="47"/>
      <c r="E28" s="47"/>
      <c r="F28" s="47"/>
      <c r="G28" s="47"/>
      <c r="H28" s="47"/>
      <c r="I28" s="47"/>
    </row>
    <row r="29" customFormat="false" ht="15.75" hidden="false" customHeight="false" outlineLevel="0" collapsed="false">
      <c r="A29" s="180"/>
      <c r="B29" s="84" t="s">
        <v>275</v>
      </c>
      <c r="C29" s="88" t="s">
        <v>293</v>
      </c>
      <c r="D29" s="183" t="n">
        <f aca="false">1/'INSERÇÃO-DE-DADOS_PRODUTIVIDADE'!N15</f>
        <v>0.00333333333333333</v>
      </c>
      <c r="E29" s="194" t="n">
        <f aca="false">'INSERÇÃO-DE-DADOS_PRODUTIVIDADE'!P15</f>
        <v>16</v>
      </c>
      <c r="F29" s="195" t="n">
        <f aca="false">1/((DIAS_NO_MES/DIAS_NA_SEMANA)*CARGA_HORARIA_SEMANAL)</f>
        <v>0.0053030303030303</v>
      </c>
      <c r="G29" s="195" t="n">
        <f aca="false">D29*E29*F29</f>
        <v>0.000282828282828283</v>
      </c>
      <c r="H29" s="184" t="n">
        <f aca="false">'SERVENTE PP'!F99</f>
        <v>3223.54874313487</v>
      </c>
      <c r="I29" s="184" t="n">
        <f aca="false">G29*H29</f>
        <v>0.911710755634106</v>
      </c>
    </row>
    <row r="30" customFormat="false" ht="15.75" hidden="false" customHeight="false" outlineLevel="0" collapsed="false">
      <c r="A30" s="180"/>
      <c r="B30" s="84"/>
      <c r="C30" s="88" t="s">
        <v>294</v>
      </c>
      <c r="D30" s="183" t="n">
        <f aca="false">1/'INSERÇÃO-DE-DADOS_PRODUTIVIDADE'!N16</f>
        <v>0.00333333333333333</v>
      </c>
      <c r="E30" s="194" t="n">
        <f aca="false">'INSERÇÃO-DE-DADOS_PRODUTIVIDADE'!P16</f>
        <v>16</v>
      </c>
      <c r="F30" s="195" t="n">
        <f aca="false">1/((DIAS_NO_MES/DIAS_NA_SEMANA)*CARGA_HORARIA_SEMANAL)</f>
        <v>0.0053030303030303</v>
      </c>
      <c r="G30" s="195" t="n">
        <f aca="false">D30*E30*F30</f>
        <v>0.000282828282828283</v>
      </c>
      <c r="H30" s="184" t="n">
        <f aca="false">'SERVENTE PP'!F99</f>
        <v>3223.54874313487</v>
      </c>
      <c r="I30" s="184" t="n">
        <f aca="false">G30*H30</f>
        <v>0.911710755634106</v>
      </c>
    </row>
    <row r="31" customFormat="false" ht="10.25" hidden="false" customHeight="true" outlineLevel="0" collapsed="false">
      <c r="A31" s="180"/>
      <c r="B31" s="182"/>
      <c r="C31" s="188"/>
      <c r="D31" s="189"/>
      <c r="E31" s="189"/>
      <c r="F31" s="189"/>
      <c r="G31" s="189"/>
      <c r="H31" s="189"/>
      <c r="I31" s="189"/>
    </row>
    <row r="32" customFormat="false" ht="9" hidden="false" customHeight="true" outlineLevel="0" collapsed="false">
      <c r="B32" s="182"/>
      <c r="C32" s="188"/>
      <c r="D32" s="189"/>
      <c r="E32" s="189"/>
      <c r="F32" s="189"/>
      <c r="G32" s="193"/>
      <c r="H32" s="161"/>
    </row>
    <row r="33" s="191" customFormat="true" ht="13.5" hidden="false" customHeight="true" outlineLevel="0" collapsed="false">
      <c r="B33" s="199" t="s">
        <v>297</v>
      </c>
      <c r="C33" s="199"/>
      <c r="D33" s="199"/>
      <c r="E33" s="199"/>
      <c r="F33" s="199"/>
      <c r="G33" s="166"/>
      <c r="H33" s="166"/>
    </row>
    <row r="34" s="166" customFormat="true" ht="13.5" hidden="false" customHeight="true" outlineLevel="0" collapsed="false">
      <c r="B34" s="202"/>
      <c r="C34" s="202"/>
      <c r="D34" s="202"/>
      <c r="E34" s="202"/>
      <c r="F34" s="202"/>
    </row>
    <row r="35" s="166" customFormat="true" ht="27" hidden="false" customHeight="true" outlineLevel="0" collapsed="false">
      <c r="B35" s="47" t="s">
        <v>269</v>
      </c>
      <c r="C35" s="47"/>
      <c r="D35" s="47" t="s">
        <v>298</v>
      </c>
      <c r="E35" s="47" t="s">
        <v>299</v>
      </c>
      <c r="F35" s="47" t="s">
        <v>300</v>
      </c>
    </row>
    <row r="36" s="166" customFormat="true" ht="27" hidden="false" customHeight="true" outlineLevel="0" collapsed="false">
      <c r="B36" s="47"/>
      <c r="C36" s="47"/>
      <c r="D36" s="47"/>
      <c r="E36" s="47"/>
      <c r="F36" s="47"/>
    </row>
    <row r="37" s="166" customFormat="true" ht="45.6" hidden="false" customHeight="true" outlineLevel="0" collapsed="false">
      <c r="B37" s="47"/>
      <c r="C37" s="47"/>
      <c r="D37" s="47" t="s">
        <v>135</v>
      </c>
      <c r="E37" s="47" t="s">
        <v>310</v>
      </c>
      <c r="F37" s="47" t="s">
        <v>302</v>
      </c>
    </row>
    <row r="38" s="166" customFormat="true" ht="19.3" hidden="false" customHeight="true" outlineLevel="0" collapsed="false">
      <c r="B38" s="84" t="s">
        <v>303</v>
      </c>
      <c r="C38" s="88" t="s">
        <v>274</v>
      </c>
      <c r="D38" s="205" t="n">
        <f aca="false">'INSERÇÃO-DE-DADOS_PRODUTIVIDADE'!H9</f>
        <v>329.16</v>
      </c>
      <c r="E38" s="206" t="n">
        <f aca="false">F12</f>
        <v>4.02943592891859</v>
      </c>
      <c r="F38" s="207" t="n">
        <f aca="false">D38*E38</f>
        <v>1326.32913036284</v>
      </c>
    </row>
    <row r="39" s="166" customFormat="true" ht="19.3" hidden="false" customHeight="true" outlineLevel="0" collapsed="false">
      <c r="B39" s="84"/>
      <c r="C39" s="88" t="s">
        <v>277</v>
      </c>
      <c r="D39" s="205" t="n">
        <f aca="false">'INSERÇÃO-DE-DADOS_PRODUTIVIDADE'!H10</f>
        <v>0</v>
      </c>
      <c r="E39" s="206" t="n">
        <f aca="false">F13</f>
        <v>2.14903249542325</v>
      </c>
      <c r="F39" s="207" t="n">
        <f aca="false">D39*E39</f>
        <v>0</v>
      </c>
    </row>
    <row r="40" s="166" customFormat="true" ht="19.3" hidden="false" customHeight="true" outlineLevel="0" collapsed="false">
      <c r="B40" s="84"/>
      <c r="C40" s="88" t="s">
        <v>279</v>
      </c>
      <c r="D40" s="205" t="n">
        <f aca="false">'INSERÇÃO-DE-DADOS_PRODUTIVIDADE'!H11</f>
        <v>26.12</v>
      </c>
      <c r="E40" s="206" t="n">
        <f aca="false">F14</f>
        <v>16.1177437156744</v>
      </c>
      <c r="F40" s="207" t="n">
        <f aca="false">D40*E40</f>
        <v>420.995465853415</v>
      </c>
    </row>
    <row r="41" s="166" customFormat="true" ht="19.3" hidden="false" customHeight="true" outlineLevel="0" collapsed="false">
      <c r="B41" s="84" t="s">
        <v>304</v>
      </c>
      <c r="C41" s="88" t="s">
        <v>282</v>
      </c>
      <c r="D41" s="205" t="n">
        <f aca="false">'INSERÇÃO-DE-DADOS_PRODUTIVIDADE'!H12</f>
        <v>270.49</v>
      </c>
      <c r="E41" s="205" t="n">
        <f aca="false">F20</f>
        <v>1.79086041285271</v>
      </c>
      <c r="F41" s="207" t="n">
        <f aca="false">D41*E41</f>
        <v>484.409833072529</v>
      </c>
    </row>
    <row r="42" s="166" customFormat="true" ht="49.15" hidden="false" customHeight="true" outlineLevel="0" collapsed="false">
      <c r="B42" s="84"/>
      <c r="C42" s="88" t="s">
        <v>284</v>
      </c>
      <c r="D42" s="205" t="n">
        <f aca="false">'INSERÇÃO-DE-DADOS_PRODUTIVIDADE'!H13</f>
        <v>145.11</v>
      </c>
      <c r="E42" s="205" t="n">
        <f aca="false">F21</f>
        <v>0.537258123855813</v>
      </c>
      <c r="F42" s="207" t="n">
        <f aca="false">D42*E42</f>
        <v>77.9615263527171</v>
      </c>
    </row>
    <row r="43" s="166" customFormat="true" ht="19.3" hidden="false" customHeight="true" outlineLevel="0" collapsed="false">
      <c r="B43" s="84"/>
      <c r="C43" s="88" t="s">
        <v>286</v>
      </c>
      <c r="D43" s="205" t="n">
        <f aca="false">'INSERÇÃO-DE-DADOS_PRODUTIVIDADE'!H14</f>
        <v>216.44</v>
      </c>
      <c r="E43" s="205" t="n">
        <f aca="false">F22</f>
        <v>1.79086041285271</v>
      </c>
      <c r="F43" s="207" t="n">
        <f aca="false">D43*E43</f>
        <v>387.61382775784</v>
      </c>
    </row>
    <row r="44" s="166" customFormat="true" ht="19.3" hidden="false" customHeight="true" outlineLevel="0" collapsed="false">
      <c r="B44" s="84" t="s">
        <v>305</v>
      </c>
      <c r="C44" s="88" t="s">
        <v>293</v>
      </c>
      <c r="D44" s="205" t="n">
        <f aca="false">'INSERÇÃO-DE-DADOS_PRODUTIVIDADE'!H15</f>
        <v>18.8</v>
      </c>
      <c r="E44" s="206" t="n">
        <f aca="false">I29</f>
        <v>0.911710755634106</v>
      </c>
      <c r="F44" s="207" t="n">
        <f aca="false">D44*E44</f>
        <v>17.1401622059212</v>
      </c>
    </row>
    <row r="45" s="166" customFormat="true" ht="19.3" hidden="false" customHeight="true" outlineLevel="0" collapsed="false">
      <c r="B45" s="84"/>
      <c r="C45" s="88" t="s">
        <v>294</v>
      </c>
      <c r="D45" s="205" t="n">
        <f aca="false">'INSERÇÃO-DE-DADOS_PRODUTIVIDADE'!H16</f>
        <v>18.8</v>
      </c>
      <c r="E45" s="206" t="n">
        <f aca="false">I30</f>
        <v>0.911710755634106</v>
      </c>
      <c r="F45" s="207" t="n">
        <f aca="false">D45*E45</f>
        <v>17.1401622059212</v>
      </c>
    </row>
    <row r="46" s="166" customFormat="true" ht="16.65" hidden="false" customHeight="true" outlineLevel="0" collapsed="false">
      <c r="B46" s="208" t="s">
        <v>320</v>
      </c>
      <c r="C46" s="208"/>
      <c r="D46" s="208"/>
      <c r="E46" s="208"/>
      <c r="F46" s="209" t="n">
        <f aca="false">SUM(F38:F45)</f>
        <v>2731.59010781119</v>
      </c>
    </row>
    <row r="47" customFormat="false" ht="13.8" hidden="false" customHeight="false" outlineLevel="0" collapsed="false">
      <c r="G47" s="166"/>
      <c r="H47" s="166"/>
    </row>
    <row r="48" s="191" customFormat="true" ht="13.5" hidden="false" customHeight="true" outlineLevel="0" collapsed="false">
      <c r="C48" s="210"/>
    </row>
    <row r="49" customFormat="false" ht="13.5" hidden="false" customHeight="true" outlineLevel="0" collapsed="false">
      <c r="I49" s="166"/>
    </row>
    <row r="50" customFormat="false" ht="14.25" hidden="false" customHeight="true" outlineLevel="0" collapsed="false">
      <c r="I50" s="166"/>
    </row>
    <row r="51" customFormat="false" ht="13.8" hidden="false" customHeight="false" outlineLevel="0" collapsed="false">
      <c r="I51" s="166"/>
    </row>
    <row r="52" customFormat="false" ht="13.8" hidden="false" customHeight="false" outlineLevel="0" collapsed="false">
      <c r="I52" s="166"/>
    </row>
    <row r="53" customFormat="false" ht="13.8" hidden="false" customHeight="false" outlineLevel="0" collapsed="false">
      <c r="I53" s="166"/>
    </row>
    <row r="54" customFormat="false" ht="36" hidden="false" customHeight="true" outlineLevel="0" collapsed="false">
      <c r="I54" s="166"/>
    </row>
    <row r="55" customFormat="false" ht="13.8" hidden="false" customHeight="false" outlineLevel="0" collapsed="false">
      <c r="I55" s="166"/>
    </row>
    <row r="56" customFormat="false" ht="49.5" hidden="false" customHeight="true" outlineLevel="0" collapsed="false">
      <c r="I56" s="166"/>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86"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sheetPr filterMode="false">
    <pageSetUpPr fitToPage="false"/>
  </sheetPr>
  <dimension ref="B1:N153"/>
  <sheetViews>
    <sheetView showFormulas="false" showGridLines="true" showRowColHeaders="true" showZeros="true" rightToLeft="false" tabSelected="false" showOutlineSymbols="true" defaultGridColor="true" view="normal" topLeftCell="A70" colorId="64" zoomScale="113" zoomScaleNormal="113"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61" width="18.85"/>
    <col collapsed="false" customWidth="true" hidden="false" outlineLevel="0" max="9" min="9" style="161" width="14.86"/>
    <col collapsed="false" customWidth="true" hidden="false" outlineLevel="0" max="10" min="10" style="161" width="12.71"/>
    <col collapsed="false" customWidth="true" hidden="false" outlineLevel="0" max="11" min="11" style="161" width="14.01"/>
    <col collapsed="false" customWidth="true" hidden="false" outlineLevel="0" max="12" min="12" style="162" width="13.7"/>
    <col collapsed="false" customWidth="true" hidden="false" outlineLevel="0" max="13" min="13" style="162" width="9.42"/>
    <col collapsed="false" customWidth="true" hidden="false" outlineLevel="0" max="14" min="14" style="162" width="12.86"/>
    <col collapsed="false" customWidth="true" hidden="false" outlineLevel="0" max="1025" min="15" style="1" width="9.13"/>
  </cols>
  <sheetData>
    <row r="1" s="1" customFormat="true" ht="20.25" hidden="false" customHeight="fals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false" outlineLevel="0" collapsed="false">
      <c r="B3" s="6" t="s">
        <v>321</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262</v>
      </c>
      <c r="D12" s="123"/>
      <c r="E12" s="123"/>
      <c r="F12" s="24" t="n">
        <f aca="false">IF(QTDE_DE_SERV=0,"",QTDE_DE_SERV)</f>
        <v>6</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'INSERÇÃO-DE-DADOS_MÃO DE OBRA'!C21</f>
        <v>Servente Unidades do interior</v>
      </c>
      <c r="E16" s="24"/>
      <c r="F16" s="24"/>
    </row>
    <row r="17" s="3" customFormat="true" ht="15" hidden="false" customHeight="true" outlineLevel="0" collapsed="false">
      <c r="B17" s="17" t="n">
        <v>4</v>
      </c>
      <c r="C17" s="10" t="s">
        <v>45</v>
      </c>
      <c r="D17" s="10"/>
      <c r="E17" s="10"/>
      <c r="F17" s="163"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SALARIO_NORMATIVO_SERV</f>
        <v>1032</v>
      </c>
    </row>
    <row r="22" s="1" customFormat="true" ht="16.5" hidden="false" customHeight="true" outlineLevel="0" collapsed="false">
      <c r="B22" s="19" t="s">
        <v>17</v>
      </c>
      <c r="C22" s="23" t="s">
        <v>246</v>
      </c>
      <c r="D22" s="23"/>
      <c r="E22" s="23"/>
      <c r="F22" s="133" t="n">
        <f aca="false">IF(ADIC_INSALUB_SERV="SIM",PERC_ADIC_INSALUB%*SAL_MINIMO,0)</f>
        <v>0</v>
      </c>
    </row>
    <row r="23" customFormat="false" ht="16.4" hidden="false" customHeight="false" outlineLevel="0" collapsed="false">
      <c r="B23" s="19" t="s">
        <v>19</v>
      </c>
      <c r="C23" s="65" t="str">
        <f aca="false">OUTROS_REMUNERACAO_1_DESCRICAO</f>
        <v>Gratificação de função (Apenas para encarregada)</v>
      </c>
      <c r="D23" s="65"/>
      <c r="E23" s="65"/>
      <c r="F23" s="132" t="n">
        <f aca="false">OUTROS_REMUNERACAO_1-'INSERÇÃO-DE-DADOS_MÃO DE OBRA'!F33</f>
        <v>0</v>
      </c>
    </row>
    <row r="24" customFormat="false" ht="15.75" hidden="false" customHeight="true" outlineLevel="0" collapsed="false">
      <c r="B24" s="19" t="s">
        <v>22</v>
      </c>
      <c r="C24" s="48" t="str">
        <f aca="false">OUTROS_REMUNERACAO_2_DESCRICAO</f>
        <v>Outras Remunerações 2 (Especificar)</v>
      </c>
      <c r="D24" s="48"/>
      <c r="E24" s="48"/>
      <c r="F24" s="133" t="n">
        <f aca="false">OUTROS_REMUNERACAO_2</f>
        <v>0</v>
      </c>
    </row>
    <row r="25" customFormat="false" ht="15.75" hidden="false" customHeight="true" outlineLevel="0" collapsed="false">
      <c r="B25" s="19" t="s">
        <v>25</v>
      </c>
      <c r="C25" s="65" t="str">
        <f aca="false">OUTROS_REMUNERACAO_3_DESCRICAO</f>
        <v>Outras Remunerações 3 (Especificar)</v>
      </c>
      <c r="D25" s="65"/>
      <c r="E25" s="65"/>
      <c r="F25" s="132" t="n">
        <f aca="false">OUTROS_REMUNERACAO_3</f>
        <v>0</v>
      </c>
    </row>
    <row r="26" customFormat="false" ht="15.75" hidden="false" customHeight="true" outlineLevel="0" collapsed="false">
      <c r="B26" s="46" t="s">
        <v>215</v>
      </c>
      <c r="C26" s="46"/>
      <c r="D26" s="46"/>
      <c r="E26" s="46"/>
      <c r="F26" s="134" t="n">
        <f aca="false">SUM(F21:F25)</f>
        <v>1032</v>
      </c>
      <c r="L26" s="161"/>
      <c r="M26" s="161"/>
    </row>
    <row r="27" customFormat="false" ht="16.5" hidden="false" customHeight="false" outlineLevel="0" collapsed="false">
      <c r="B27" s="44" t="s">
        <v>55</v>
      </c>
      <c r="E27" s="53"/>
      <c r="F27" s="53"/>
      <c r="L27" s="161"/>
      <c r="M27" s="161"/>
    </row>
    <row r="28" customFormat="false" ht="16.5" hidden="false" customHeight="false" outlineLevel="0" collapsed="false">
      <c r="B28" s="44" t="s">
        <v>196</v>
      </c>
      <c r="C28" s="59"/>
      <c r="D28" s="60"/>
      <c r="E28" s="61"/>
      <c r="F28" s="61"/>
      <c r="L28" s="161"/>
      <c r="M28" s="161"/>
      <c r="N28" s="164"/>
    </row>
    <row r="29" customFormat="false" ht="16.5" hidden="false" customHeight="false" outlineLevel="0" collapsed="false">
      <c r="B29" s="19" t="s">
        <v>197</v>
      </c>
      <c r="C29" s="64" t="s">
        <v>198</v>
      </c>
      <c r="D29" s="64"/>
      <c r="E29" s="47" t="s">
        <v>86</v>
      </c>
      <c r="F29" s="47" t="s">
        <v>98</v>
      </c>
      <c r="L29" s="161"/>
      <c r="M29" s="161"/>
      <c r="N29" s="164"/>
    </row>
    <row r="30" customFormat="false" ht="16.5" hidden="false" customHeight="true" outlineLevel="0" collapsed="false">
      <c r="B30" s="19" t="s">
        <v>14</v>
      </c>
      <c r="C30" s="71" t="s">
        <v>200</v>
      </c>
      <c r="D30" s="71"/>
      <c r="E30" s="104" t="n">
        <f aca="false">PERC_DEC_TERC</f>
        <v>8.33333333333333</v>
      </c>
      <c r="F30" s="100" t="n">
        <f aca="false">PERC_DEC_TERC%*MOD_1_REMUNERACAO_SERV</f>
        <v>86</v>
      </c>
      <c r="L30" s="161"/>
      <c r="M30" s="161"/>
      <c r="N30" s="164"/>
    </row>
    <row r="31" customFormat="false" ht="16.5" hidden="false" customHeight="true" outlineLevel="0" collapsed="false">
      <c r="B31" s="47" t="s">
        <v>17</v>
      </c>
      <c r="C31" s="23" t="s">
        <v>202</v>
      </c>
      <c r="D31" s="23"/>
      <c r="E31" s="106" t="n">
        <f aca="false">PERC_ADIC_FERIAS</f>
        <v>2.77777777777778</v>
      </c>
      <c r="F31" s="102" t="n">
        <f aca="false">PERC_ADIC_FERIAS%*MOD_1_REMUNERACAO_SERV</f>
        <v>28.6666666666667</v>
      </c>
      <c r="L31" s="161"/>
      <c r="M31" s="161"/>
      <c r="N31" s="164"/>
    </row>
    <row r="32" customFormat="false" ht="16.5" hidden="false" customHeight="false" outlineLevel="0" collapsed="false">
      <c r="B32" s="64" t="s">
        <v>215</v>
      </c>
      <c r="C32" s="64"/>
      <c r="D32" s="64"/>
      <c r="E32" s="64"/>
      <c r="F32" s="135" t="n">
        <f aca="false">SUM(F30:F31)</f>
        <v>114.666666666667</v>
      </c>
      <c r="L32" s="161"/>
      <c r="M32" s="161"/>
    </row>
    <row r="33" customFormat="false" ht="31.6" hidden="false" customHeight="true" outlineLevel="0" collapsed="false">
      <c r="B33" s="136" t="s">
        <v>204</v>
      </c>
      <c r="C33" s="136"/>
      <c r="D33" s="136"/>
      <c r="E33" s="136"/>
      <c r="F33" s="136"/>
      <c r="L33" s="161"/>
      <c r="M33" s="161"/>
    </row>
    <row r="34" customFormat="false" ht="31.6" hidden="false" customHeight="true" outlineLevel="0" collapsed="false">
      <c r="B34" s="19" t="s">
        <v>205</v>
      </c>
      <c r="C34" s="108" t="s">
        <v>206</v>
      </c>
      <c r="D34" s="108"/>
      <c r="E34" s="47" t="s">
        <v>86</v>
      </c>
      <c r="F34" s="47" t="s">
        <v>98</v>
      </c>
      <c r="L34" s="161"/>
      <c r="M34" s="161"/>
    </row>
    <row r="35" s="105" customFormat="true" ht="16.5" hidden="false" customHeight="true" outlineLevel="0" collapsed="false">
      <c r="B35" s="19" t="s">
        <v>14</v>
      </c>
      <c r="C35" s="71" t="s">
        <v>207</v>
      </c>
      <c r="D35" s="71"/>
      <c r="E35" s="104" t="n">
        <f aca="false">PERC_INSS</f>
        <v>20</v>
      </c>
      <c r="F35" s="100" t="n">
        <f aca="false">PERC_INSS%*(MOD_1_REMUNERACAO_SERV+SUBMOD_2_1_DEC_TERC_ADIC_FERIAS_SERV)</f>
        <v>229.333333333333</v>
      </c>
      <c r="H35" s="161"/>
      <c r="I35" s="161"/>
      <c r="J35" s="161"/>
      <c r="K35" s="161"/>
      <c r="L35" s="161"/>
      <c r="M35" s="161"/>
      <c r="N35" s="162"/>
    </row>
    <row r="36" s="52" customFormat="true" ht="16.5" hidden="false" customHeight="true" outlineLevel="0" collapsed="false">
      <c r="B36" s="47" t="s">
        <v>17</v>
      </c>
      <c r="C36" s="23" t="s">
        <v>208</v>
      </c>
      <c r="D36" s="23"/>
      <c r="E36" s="109" t="n">
        <f aca="false">PERC_SAL_EDUCACAO</f>
        <v>2.5</v>
      </c>
      <c r="F36" s="102" t="n">
        <f aca="false">PERC_SAL_EDUCACAO%*(MOD_1_REMUNERACAO_SERV+SUBMOD_2_1_DEC_TERC_ADIC_FERIAS_SERV)</f>
        <v>28.6666666666667</v>
      </c>
      <c r="H36" s="161"/>
      <c r="I36" s="161"/>
      <c r="J36" s="161"/>
      <c r="K36" s="161"/>
      <c r="L36" s="161"/>
      <c r="M36" s="161"/>
      <c r="N36" s="162"/>
    </row>
    <row r="37" s="52" customFormat="true" ht="16.5" hidden="false" customHeight="true" outlineLevel="0" collapsed="false">
      <c r="B37" s="47" t="s">
        <v>19</v>
      </c>
      <c r="C37" s="71" t="s">
        <v>209</v>
      </c>
      <c r="D37" s="71"/>
      <c r="E37" s="104" t="n">
        <f aca="false">PERC_RAT</f>
        <v>3</v>
      </c>
      <c r="F37" s="100" t="n">
        <f aca="false">PERC_RAT%*(MOD_1_REMUNERACAO_SERV+SUBMOD_2_1_DEC_TERC_ADIC_FERIAS_SERV)</f>
        <v>34.4</v>
      </c>
      <c r="H37" s="161"/>
      <c r="I37" s="161"/>
      <c r="J37" s="161"/>
      <c r="K37" s="161"/>
      <c r="L37" s="161"/>
      <c r="M37" s="161"/>
      <c r="N37" s="162"/>
    </row>
    <row r="38" s="52" customFormat="true" ht="16.5" hidden="false" customHeight="true" outlineLevel="0" collapsed="false">
      <c r="B38" s="47" t="s">
        <v>22</v>
      </c>
      <c r="C38" s="23" t="s">
        <v>210</v>
      </c>
      <c r="D38" s="23"/>
      <c r="E38" s="106" t="n">
        <f aca="false">PERC_SESC</f>
        <v>1.5</v>
      </c>
      <c r="F38" s="102" t="n">
        <f aca="false">PERC_SESC%*(MOD_1_REMUNERACAO_SERV+SUBMOD_2_1_DEC_TERC_ADIC_FERIAS_SERV)</f>
        <v>17.2</v>
      </c>
      <c r="H38" s="161"/>
      <c r="I38" s="161"/>
      <c r="J38" s="161"/>
      <c r="K38" s="161"/>
      <c r="L38" s="161"/>
      <c r="M38" s="161"/>
      <c r="N38" s="162"/>
    </row>
    <row r="39" customFormat="false" ht="16.5" hidden="false" customHeight="true" outlineLevel="0" collapsed="false">
      <c r="B39" s="47" t="s">
        <v>25</v>
      </c>
      <c r="C39" s="71" t="s">
        <v>211</v>
      </c>
      <c r="D39" s="71"/>
      <c r="E39" s="104" t="n">
        <f aca="false">PERC_SENAC</f>
        <v>1</v>
      </c>
      <c r="F39" s="100" t="n">
        <f aca="false">PERC_SENAC%*(MOD_1_REMUNERACAO_SERV+SUBMOD_2_1_DEC_TERC_ADIC_FERIAS_SERV)</f>
        <v>11.4666666666667</v>
      </c>
      <c r="L39" s="161"/>
      <c r="M39" s="161"/>
    </row>
    <row r="40" s="3" customFormat="true" ht="16.5" hidden="false" customHeight="true" outlineLevel="0" collapsed="false">
      <c r="B40" s="47" t="s">
        <v>80</v>
      </c>
      <c r="C40" s="23" t="s">
        <v>212</v>
      </c>
      <c r="D40" s="23"/>
      <c r="E40" s="109" t="n">
        <f aca="false">PERC_SEBRAE</f>
        <v>0.6</v>
      </c>
      <c r="F40" s="102" t="n">
        <f aca="false">PERC_SEBRAE%*(MOD_1_REMUNERACAO_SERV+SUBMOD_2_1_DEC_TERC_ADIC_FERIAS_SERV)</f>
        <v>6.88</v>
      </c>
      <c r="H40" s="162"/>
      <c r="I40" s="162"/>
      <c r="J40" s="162"/>
      <c r="K40" s="162"/>
      <c r="L40" s="162"/>
      <c r="M40" s="162"/>
      <c r="N40" s="162"/>
    </row>
    <row r="41" s="3" customFormat="true" ht="16.5" hidden="false" customHeight="true" outlineLevel="0" collapsed="false">
      <c r="B41" s="47" t="s">
        <v>170</v>
      </c>
      <c r="C41" s="71" t="s">
        <v>213</v>
      </c>
      <c r="D41" s="71"/>
      <c r="E41" s="104" t="n">
        <f aca="false">PERC_INCRA</f>
        <v>0.2</v>
      </c>
      <c r="F41" s="100" t="n">
        <f aca="false">PERC_INCRA%*(MOD_1_REMUNERACAO_SERV+SUBMOD_2_1_DEC_TERC_ADIC_FERIAS_SERV)</f>
        <v>2.29333333333333</v>
      </c>
      <c r="H41" s="162"/>
      <c r="I41" s="162"/>
      <c r="J41" s="162"/>
      <c r="K41" s="162"/>
      <c r="L41" s="162"/>
      <c r="M41" s="162"/>
      <c r="N41" s="162"/>
    </row>
    <row r="42" s="3" customFormat="true" ht="16.5" hidden="false" customHeight="true" outlineLevel="0" collapsed="false">
      <c r="B42" s="47" t="s">
        <v>172</v>
      </c>
      <c r="C42" s="23" t="s">
        <v>214</v>
      </c>
      <c r="D42" s="23"/>
      <c r="E42" s="109" t="n">
        <f aca="false">PERC_FGTS</f>
        <v>8</v>
      </c>
      <c r="F42" s="102" t="n">
        <f aca="false">PERC_FGTS%*(MOD_1_REMUNERACAO_SERV+SUBMOD_2_1_DEC_TERC_ADIC_FERIAS_SERV)</f>
        <v>91.7333333333333</v>
      </c>
      <c r="H42" s="162"/>
      <c r="I42" s="162"/>
      <c r="J42" s="162"/>
      <c r="K42" s="162"/>
      <c r="L42" s="162"/>
      <c r="M42" s="162"/>
      <c r="N42" s="162"/>
    </row>
    <row r="43" s="3" customFormat="true" ht="16.5" hidden="false" customHeight="false" outlineLevel="0" collapsed="false">
      <c r="B43" s="64" t="s">
        <v>215</v>
      </c>
      <c r="C43" s="64"/>
      <c r="D43" s="64"/>
      <c r="E43" s="64"/>
      <c r="F43" s="137" t="n">
        <f aca="false">SUM(F35:F42)</f>
        <v>421.973333333333</v>
      </c>
      <c r="H43" s="162"/>
      <c r="I43" s="162"/>
      <c r="J43" s="162"/>
      <c r="K43" s="162"/>
      <c r="L43" s="162"/>
      <c r="M43" s="162"/>
      <c r="N43" s="162"/>
    </row>
    <row r="44" s="13" customFormat="true" ht="16.5" hidden="false" customHeight="false" outlineLevel="0" collapsed="false">
      <c r="B44" s="44" t="s">
        <v>56</v>
      </c>
      <c r="H44" s="162"/>
      <c r="I44" s="162"/>
      <c r="J44" s="162"/>
      <c r="K44" s="162"/>
      <c r="L44" s="162"/>
      <c r="M44" s="162"/>
      <c r="N44" s="162"/>
    </row>
    <row r="45" s="13" customFormat="true" ht="16.5" hidden="false" customHeight="true" outlineLevel="0" collapsed="false">
      <c r="B45" s="19" t="s">
        <v>57</v>
      </c>
      <c r="C45" s="46" t="s">
        <v>58</v>
      </c>
      <c r="D45" s="46"/>
      <c r="E45" s="46"/>
      <c r="F45" s="47" t="s">
        <v>98</v>
      </c>
      <c r="H45" s="165"/>
      <c r="I45" s="165"/>
      <c r="J45" s="165"/>
      <c r="K45" s="165"/>
      <c r="L45" s="165"/>
      <c r="M45" s="165"/>
      <c r="N45" s="165"/>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IF(DIAS_TRABALHADOS_NO_MES=15,(TRANSPORTE_POR_DIA*DIAS_TRABALHADOS_NO_MES)-(PERC_DESC_TRANSP_REMUNERACAO%*(AL_1_A_SAL_BASE_SERV/2)),IF(DIAS_TRABALHADOS_NO_MES=22,('INSERÇÃO-DE-DADOS_MÃO DE OBRA'!F46*DIAS_TRABALHADOS_NO_MES)-(PERC_DESC_TRANSP_REMUNERACAO%*(AL_1_A_SAL_BASE_SERV))))*0</f>
        <v>-0</v>
      </c>
      <c r="H46" s="165"/>
      <c r="I46" s="165"/>
      <c r="J46" s="165"/>
      <c r="K46" s="165"/>
      <c r="L46" s="165"/>
      <c r="M46" s="165"/>
      <c r="N46" s="165"/>
    </row>
    <row r="47" customFormat="false" ht="16.5" hidden="false" customHeight="true" outlineLevel="0" collapsed="false">
      <c r="B47" s="17" t="s">
        <v>17</v>
      </c>
      <c r="C47" s="23" t="s">
        <v>75</v>
      </c>
      <c r="D47" s="23"/>
      <c r="E47" s="23"/>
      <c r="F47" s="102" t="n">
        <f aca="false">ALIMENTACAO_POR_DIA*DIAS_TRABALHADOS_NO_MES</f>
        <v>220</v>
      </c>
      <c r="H47" s="165"/>
      <c r="I47" s="165"/>
      <c r="J47" s="165"/>
      <c r="K47" s="165"/>
      <c r="L47" s="165"/>
      <c r="M47" s="165"/>
      <c r="N47" s="165"/>
    </row>
    <row r="48" customFormat="false" ht="15.75" hidden="false" customHeight="true" outlineLevel="0" collapsed="false">
      <c r="B48" s="17" t="s">
        <v>19</v>
      </c>
      <c r="C48" s="65" t="str">
        <f aca="false">OUTROS_BENEFICIOS_1_DESCRICAO</f>
        <v>Seguro de vida em grupo</v>
      </c>
      <c r="D48" s="65"/>
      <c r="E48" s="65"/>
      <c r="F48" s="100" t="n">
        <f aca="false">OUTROS_BENEFICIOS_1</f>
        <v>6</v>
      </c>
      <c r="H48" s="165"/>
      <c r="I48" s="165"/>
      <c r="J48" s="165"/>
      <c r="K48" s="165"/>
      <c r="L48" s="165"/>
      <c r="M48" s="165"/>
      <c r="N48" s="165"/>
    </row>
    <row r="49" customFormat="false" ht="15.75" hidden="false" customHeight="true" outlineLevel="0" collapsed="false">
      <c r="B49" s="17" t="s">
        <v>22</v>
      </c>
      <c r="C49" s="48" t="str">
        <f aca="false">OUTROS_BENEFICIOS_2_DESCRICAO</f>
        <v>Assistência social familiar</v>
      </c>
      <c r="D49" s="48"/>
      <c r="E49" s="48"/>
      <c r="F49" s="102" t="n">
        <f aca="false">OUTROS_BENEFICIOS_2</f>
        <v>9.7</v>
      </c>
      <c r="L49" s="161"/>
      <c r="M49" s="161"/>
      <c r="N49" s="166"/>
    </row>
    <row r="50" customFormat="false" ht="16.5" hidden="false" customHeight="false" outlineLevel="0" collapsed="false">
      <c r="B50" s="17" t="s">
        <v>25</v>
      </c>
      <c r="C50" s="65" t="str">
        <f aca="false">OUTROS_BENEFICIOS_3_DESCRICAO</f>
        <v>Assistência e inclusão social</v>
      </c>
      <c r="D50" s="65"/>
      <c r="E50" s="65"/>
      <c r="F50" s="100" t="n">
        <f aca="false">OUTROS_BENEFICIOS_3</f>
        <v>4</v>
      </c>
      <c r="L50" s="161"/>
      <c r="M50" s="161"/>
      <c r="N50" s="166"/>
    </row>
    <row r="51" s="52" customFormat="true" ht="16.5" hidden="false" customHeight="true" outlineLevel="0" collapsed="false">
      <c r="B51" s="46" t="s">
        <v>215</v>
      </c>
      <c r="C51" s="46"/>
      <c r="D51" s="46"/>
      <c r="E51" s="46"/>
      <c r="F51" s="134" t="n">
        <f aca="false">SUM(F46:F50)</f>
        <v>239.7</v>
      </c>
      <c r="H51" s="161"/>
      <c r="I51" s="161"/>
      <c r="J51" s="161"/>
      <c r="K51" s="161"/>
      <c r="L51" s="161"/>
      <c r="M51" s="161"/>
      <c r="N51" s="166"/>
    </row>
    <row r="52" s="52" customFormat="true" ht="16.5" hidden="false" customHeight="false" outlineLevel="0" collapsed="false">
      <c r="B52" s="44" t="s">
        <v>176</v>
      </c>
      <c r="C52" s="59"/>
      <c r="D52" s="60"/>
      <c r="E52" s="61"/>
      <c r="F52" s="61"/>
      <c r="H52" s="161"/>
      <c r="I52" s="161"/>
      <c r="J52" s="161"/>
      <c r="K52" s="161"/>
      <c r="L52" s="161"/>
      <c r="M52" s="161"/>
      <c r="N52" s="162"/>
    </row>
    <row r="53" s="52" customFormat="true" ht="16.5" hidden="false" customHeight="false" outlineLevel="0" collapsed="false">
      <c r="B53" s="19" t="n">
        <v>3</v>
      </c>
      <c r="C53" s="64" t="s">
        <v>177</v>
      </c>
      <c r="D53" s="64"/>
      <c r="E53" s="47" t="s">
        <v>86</v>
      </c>
      <c r="F53" s="47" t="s">
        <v>98</v>
      </c>
      <c r="H53" s="161"/>
      <c r="I53" s="161"/>
      <c r="J53" s="161"/>
      <c r="K53" s="161"/>
      <c r="L53" s="161"/>
      <c r="M53" s="161"/>
      <c r="N53" s="162"/>
    </row>
    <row r="54" s="52" customFormat="true" ht="16.5" hidden="false" customHeight="false" outlineLevel="0" collapsed="false">
      <c r="B54" s="19" t="s">
        <v>14</v>
      </c>
      <c r="C54" s="111" t="s">
        <v>216</v>
      </c>
      <c r="D54" s="111"/>
      <c r="E54" s="104" t="n">
        <f aca="false">PERC_AVISO_PREVIO_IND</f>
        <v>0.26011</v>
      </c>
      <c r="F54" s="100" t="n">
        <f aca="false">PERC_AVISO_PREVIO_IND%*(MOD_1_REMUNERACAO_SERV+SUBMOD_2_1_DEC_TERC_ADIC_FERIAS_SERV+AL_2_2_FGTS_SERV+SUBMOD_2_3_BENEFICIOS_SERV)</f>
        <v>3.84468591</v>
      </c>
      <c r="H54" s="161"/>
      <c r="I54" s="161"/>
      <c r="J54" s="161"/>
      <c r="K54" s="161"/>
      <c r="L54" s="161"/>
      <c r="M54" s="161"/>
      <c r="N54" s="162"/>
    </row>
    <row r="55" s="52" customFormat="true" ht="15" hidden="false" customHeight="true" outlineLevel="0" collapsed="false">
      <c r="B55" s="47" t="s">
        <v>17</v>
      </c>
      <c r="C55" s="112" t="s">
        <v>218</v>
      </c>
      <c r="D55" s="112"/>
      <c r="E55" s="109" t="n">
        <f aca="false">PERC_FGTS_AVISO_PREV_IND</f>
        <v>0.0208088</v>
      </c>
      <c r="F55" s="102" t="n">
        <f aca="false">PERC_FGTS_AVISO_PREV_IND%*(MOD_1_REMUNERACAO_SERV+SUBMOD_2_1_DEC_TERC_ADIC_FERIAS_SERV)</f>
        <v>0.238607573333333</v>
      </c>
      <c r="H55" s="161"/>
      <c r="I55" s="161"/>
      <c r="J55" s="161"/>
      <c r="K55" s="161"/>
      <c r="L55" s="161"/>
      <c r="M55" s="161"/>
      <c r="N55" s="166"/>
    </row>
    <row r="56" s="52" customFormat="true" ht="31.5" hidden="false" customHeight="true" outlineLevel="0" collapsed="false">
      <c r="B56" s="47" t="s">
        <v>19</v>
      </c>
      <c r="C56" s="111" t="s">
        <v>220</v>
      </c>
      <c r="D56" s="111"/>
      <c r="E56" s="104" t="n">
        <f aca="false">PERC_MULTA_FGTS_AV_PREV_IND</f>
        <v>0.0104044</v>
      </c>
      <c r="F56" s="100" t="n">
        <f aca="false">PERC_MULTA_FGTS_AV_PREV_IND%*(MOD_1_REMUNERACAO_SERV+SUBMOD_2_1_DEC_TERC_ADIC_FERIAS_SERV)</f>
        <v>0.119303786666667</v>
      </c>
      <c r="H56" s="161"/>
      <c r="I56" s="161"/>
      <c r="J56" s="161"/>
      <c r="K56" s="161"/>
      <c r="L56" s="161"/>
      <c r="M56" s="161"/>
      <c r="N56" s="162"/>
    </row>
    <row r="57" s="52" customFormat="true" ht="15" hidden="false" customHeight="true" outlineLevel="0" collapsed="false">
      <c r="B57" s="47" t="s">
        <v>22</v>
      </c>
      <c r="C57" s="112" t="s">
        <v>222</v>
      </c>
      <c r="D57" s="112"/>
      <c r="E57" s="109" t="n">
        <f aca="false">PERC_AVISO_PREVIO_TRAB</f>
        <v>1.03286322222222</v>
      </c>
      <c r="F57" s="102" t="n">
        <f aca="false">PERC_AVISO_PREVIO_TRAB%*(MOD_1_REMUNERACAO_SERV+SUBMOD_2_1_DEC_TERC_ADIC_FERIAS_SERV+SUBMOD_2_2_GPS_FGTS_SERV+SUBMOD_2_3_BENEFICIOS_SERV)</f>
        <v>18.6776787927333</v>
      </c>
      <c r="H57" s="161"/>
      <c r="I57" s="161"/>
      <c r="J57" s="161"/>
      <c r="K57" s="161"/>
      <c r="L57" s="161"/>
      <c r="M57" s="161"/>
      <c r="N57" s="162"/>
    </row>
    <row r="58" s="52" customFormat="true" ht="33.75" hidden="false" customHeight="true" outlineLevel="0" collapsed="false">
      <c r="B58" s="47" t="s">
        <v>25</v>
      </c>
      <c r="C58" s="111" t="s">
        <v>224</v>
      </c>
      <c r="D58" s="111"/>
      <c r="E58" s="104" t="n">
        <f aca="false">PERC_GPS_FGTS_AVISO_PREVIO_TRAB</f>
        <v>0.380093665777778</v>
      </c>
      <c r="F58" s="100" t="n">
        <f aca="false">PERC_GPS_FGTS_AVISO_PREVIO_TRAB%*(MOD_1_REMUNERACAO_SERV+SUBMOD_2_1_DEC_TERC_ADIC_FERIAS_SERV)</f>
        <v>4.35840736758519</v>
      </c>
      <c r="H58" s="161"/>
      <c r="I58" s="161"/>
      <c r="J58" s="161"/>
      <c r="K58" s="161"/>
      <c r="L58" s="161"/>
      <c r="M58" s="161"/>
      <c r="N58" s="167"/>
    </row>
    <row r="59" s="52" customFormat="true" ht="32.25" hidden="false" customHeight="true" outlineLevel="0" collapsed="false">
      <c r="B59" s="47" t="s">
        <v>80</v>
      </c>
      <c r="C59" s="112" t="s">
        <v>226</v>
      </c>
      <c r="D59" s="112"/>
      <c r="E59" s="109" t="n">
        <f aca="false">PERC_MULTA_FGTS_AV_PREV_TRAB</f>
        <v>0.05</v>
      </c>
      <c r="F59" s="102" t="n">
        <f aca="false">PERC_MULTA_FGTS_AV_PREV_TRAB%*(MOD_1_REMUNERACAO_SERV+SUBMOD_2_1_DEC_TERC_ADIC_FERIAS_SERV)</f>
        <v>0.573333333333333</v>
      </c>
      <c r="H59" s="161"/>
      <c r="I59" s="161"/>
      <c r="J59" s="161"/>
      <c r="K59" s="161"/>
      <c r="L59" s="161"/>
      <c r="M59" s="161"/>
      <c r="N59" s="162"/>
    </row>
    <row r="60" s="3" customFormat="true" ht="16.5" hidden="false" customHeight="false" outlineLevel="0" collapsed="false">
      <c r="B60" s="64" t="s">
        <v>215</v>
      </c>
      <c r="C60" s="64"/>
      <c r="D60" s="64"/>
      <c r="E60" s="64"/>
      <c r="F60" s="135" t="n">
        <f aca="false">SUM(F54:F59)</f>
        <v>27.8120167636518</v>
      </c>
      <c r="H60" s="161"/>
      <c r="I60" s="161"/>
      <c r="J60" s="161"/>
      <c r="K60" s="161"/>
      <c r="L60" s="161"/>
      <c r="M60" s="161"/>
      <c r="N60" s="162"/>
    </row>
    <row r="61" s="3" customFormat="true" ht="16.5" hidden="false" customHeight="false" outlineLevel="0" collapsed="false">
      <c r="B61" s="44" t="s">
        <v>82</v>
      </c>
      <c r="C61" s="59"/>
      <c r="D61" s="60"/>
      <c r="E61" s="1"/>
      <c r="F61" s="1"/>
      <c r="H61" s="161"/>
      <c r="I61" s="161"/>
      <c r="J61" s="161"/>
      <c r="K61" s="161"/>
      <c r="L61" s="161"/>
      <c r="M61" s="161"/>
      <c r="N61" s="162"/>
    </row>
    <row r="62" s="3" customFormat="true" ht="16.5" hidden="false" customHeight="false" outlineLevel="0" collapsed="false">
      <c r="B62" s="44" t="s">
        <v>83</v>
      </c>
      <c r="C62" s="59"/>
      <c r="D62" s="60"/>
      <c r="E62" s="61"/>
      <c r="F62" s="61"/>
      <c r="H62" s="168"/>
      <c r="I62" s="168"/>
      <c r="J62" s="168"/>
      <c r="K62" s="168"/>
      <c r="L62" s="161"/>
      <c r="M62" s="161"/>
      <c r="N62" s="162"/>
    </row>
    <row r="63" s="3" customFormat="true" ht="16.5" hidden="false" customHeight="true" outlineLevel="0" collapsed="false">
      <c r="B63" s="19" t="s">
        <v>84</v>
      </c>
      <c r="C63" s="46" t="s">
        <v>85</v>
      </c>
      <c r="D63" s="46"/>
      <c r="E63" s="47" t="s">
        <v>86</v>
      </c>
      <c r="F63" s="47" t="s">
        <v>98</v>
      </c>
      <c r="H63" s="168"/>
      <c r="I63" s="168"/>
      <c r="J63" s="168"/>
      <c r="K63" s="168"/>
      <c r="L63" s="161"/>
      <c r="M63" s="161"/>
      <c r="N63" s="162"/>
    </row>
    <row r="64" customFormat="false" ht="16.5" hidden="false" customHeight="true" outlineLevel="0" collapsed="false">
      <c r="B64" s="47" t="s">
        <v>14</v>
      </c>
      <c r="C64" s="71" t="s">
        <v>228</v>
      </c>
      <c r="D64" s="71"/>
      <c r="E64" s="104" t="n">
        <f aca="false">PERC_SUBSTITUTO_FERIAS</f>
        <v>8.33333333333333</v>
      </c>
      <c r="F64" s="100" t="n">
        <f aca="false">PERC_SUBSTITUTO_FERIAS%*(MOD_1_REMUNERACAO_SERV+MOD_2_ENCARGOS_BENEFICIOS_SERV+MOD_3_PROVISAO_RESCISAO_SERV)</f>
        <v>153.012668063638</v>
      </c>
      <c r="H64" s="168"/>
      <c r="I64" s="168"/>
      <c r="J64" s="168"/>
      <c r="K64" s="168"/>
      <c r="L64" s="161"/>
      <c r="M64" s="161"/>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PERC_SUBSTITUTO_AUSENCIAS_LEGAIS%*(MOD_1_REMUNERACAO_SERV+MOD_2_ENCARGOS_BENEFICIOS_SERV+MOD_3_PROVISAO_RESCISAO_SERV)</f>
        <v>40.8033781503033</v>
      </c>
      <c r="H65" s="168"/>
      <c r="I65" s="168"/>
      <c r="J65" s="168"/>
      <c r="K65" s="168"/>
      <c r="L65" s="161"/>
      <c r="M65" s="161"/>
      <c r="N65" s="162"/>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PERC_SUBSTITUTO_LICENCA_PATERNIDADE%*(MOD_1_REMUNERACAO_SERV+MOD_2_ENCARGOS_BENEFICIOS_SERV+MOD_3_PROVISAO_RESCISAO_SERV)</f>
        <v>0.655020709784634</v>
      </c>
      <c r="H66" s="168"/>
      <c r="I66" s="168"/>
      <c r="J66" s="168"/>
      <c r="K66" s="168"/>
      <c r="L66" s="161"/>
      <c r="M66" s="161"/>
      <c r="N66" s="168"/>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PERC_SUBSTITUTO_ACID_TRAB%*(MOD_1_REMUNERACAO_SERV+MOD_2_ENCARGOS_BENEFICIOS_SERV+MOD_3_PROVISAO_RESCISAO_SERV)</f>
        <v>0.340243062173223</v>
      </c>
      <c r="H67" s="168"/>
      <c r="I67" s="168"/>
      <c r="J67" s="168"/>
      <c r="K67" s="168"/>
      <c r="L67" s="161"/>
      <c r="M67" s="161"/>
      <c r="N67" s="168"/>
    </row>
    <row r="68" s="3" customFormat="true" ht="15.95" hidden="false" customHeight="true" outlineLevel="0" collapsed="false">
      <c r="B68" s="47" t="s">
        <v>25</v>
      </c>
      <c r="C68" s="71" t="s">
        <v>236</v>
      </c>
      <c r="D68" s="71"/>
      <c r="E68" s="104" t="n">
        <f aca="false">PERC_SUBSTITUTO_AFAST_MATERN</f>
        <v>0.143129184</v>
      </c>
      <c r="F68" s="100" t="n">
        <f aca="false">PERC_SUBSTITUTO_AFAST_MATERN%*(MOD_1_REMUNERACAO_SERV+MOD_2_ENCARGOS_BENEFICIOS_SERV+MOD_3_PROVISAO_RESCISAO_SERV)</f>
        <v>2.62806939859336</v>
      </c>
      <c r="H68" s="168"/>
      <c r="I68" s="168"/>
      <c r="J68" s="168"/>
      <c r="K68" s="168"/>
      <c r="L68" s="161"/>
      <c r="M68" s="161"/>
      <c r="N68" s="168"/>
    </row>
    <row r="69" s="3" customFormat="true" ht="15.95" hidden="false" customHeight="tru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PERC_SUBSTITUTO_OUTRAS_AUSENCIAS%*(MOD_1_REMUNERACAO_SERV+MOD_2_ENCARGOS_BENEFICIOS_SERV+MOD_3_PROVISAO_RESCISAO_SERV)</f>
        <v>0</v>
      </c>
      <c r="H69" s="168"/>
      <c r="I69" s="168"/>
      <c r="J69" s="168"/>
      <c r="K69" s="168"/>
      <c r="L69" s="161"/>
      <c r="M69" s="161"/>
      <c r="N69" s="168"/>
    </row>
    <row r="70" s="3" customFormat="true" ht="15.95" hidden="false" customHeight="true" outlineLevel="0" collapsed="false">
      <c r="B70" s="64" t="s">
        <v>215</v>
      </c>
      <c r="C70" s="64"/>
      <c r="D70" s="64"/>
      <c r="E70" s="64"/>
      <c r="F70" s="135" t="n">
        <f aca="false">SUM(F64:F69)</f>
        <v>197.439379384492</v>
      </c>
      <c r="H70" s="168"/>
      <c r="I70" s="168"/>
      <c r="J70" s="168"/>
      <c r="K70" s="168"/>
      <c r="L70" s="161"/>
      <c r="M70" s="161"/>
      <c r="N70" s="168"/>
    </row>
    <row r="71" s="3" customFormat="true" ht="16.5" hidden="false" customHeight="false" outlineLevel="0" collapsed="false">
      <c r="B71" s="44" t="s">
        <v>88</v>
      </c>
      <c r="C71" s="59"/>
      <c r="D71" s="60"/>
      <c r="E71" s="61"/>
      <c r="F71" s="61"/>
      <c r="H71" s="168"/>
      <c r="I71" s="168"/>
      <c r="J71" s="168"/>
      <c r="K71" s="168"/>
      <c r="L71" s="161"/>
      <c r="M71" s="161"/>
      <c r="N71" s="168"/>
    </row>
    <row r="72" s="3" customFormat="true" ht="16.5" hidden="false" customHeight="false" outlineLevel="0" collapsed="false">
      <c r="B72" s="19" t="s">
        <v>89</v>
      </c>
      <c r="C72" s="64" t="s">
        <v>90</v>
      </c>
      <c r="D72" s="64"/>
      <c r="E72" s="64"/>
      <c r="F72" s="47" t="s">
        <v>98</v>
      </c>
      <c r="H72" s="168"/>
      <c r="I72" s="168"/>
      <c r="J72" s="168"/>
      <c r="K72" s="168"/>
      <c r="L72" s="161"/>
      <c r="M72" s="161"/>
      <c r="N72" s="168"/>
    </row>
    <row r="73" s="3" customFormat="true" ht="16.5" hidden="false" customHeight="true" outlineLevel="0" collapsed="false">
      <c r="B73" s="19" t="s">
        <v>14</v>
      </c>
      <c r="C73" s="71" t="s">
        <v>247</v>
      </c>
      <c r="D73" s="71"/>
      <c r="E73" s="71"/>
      <c r="F73" s="132" t="n">
        <f aca="false">IF(DIAS_TRABALHADOS_NO_MES=15,((MOD_1_REMUNERACAO_SERV+MOD_2_ENCARGOS_BENEFICIOS_SERV+MOD_3_PROVISAO_RESCISAO_SERV)/DIVISOR_DE_HORAS)*((TEMPO_INTERVALO_REFEICAO/HORA_NORMAL)+PERC_HORA_EXTRA%)*DIAS_TRABALHADOS_NO_MES,0)</f>
        <v>0</v>
      </c>
      <c r="H73" s="168"/>
      <c r="I73" s="168"/>
      <c r="J73" s="168"/>
      <c r="K73" s="168"/>
      <c r="L73" s="161"/>
      <c r="M73" s="161"/>
      <c r="N73" s="168"/>
    </row>
    <row r="74" s="3" customFormat="true" ht="16.5" hidden="false" customHeight="false" outlineLevel="0" collapsed="false">
      <c r="B74" s="64" t="s">
        <v>215</v>
      </c>
      <c r="C74" s="64"/>
      <c r="D74" s="64"/>
      <c r="E74" s="64"/>
      <c r="F74" s="135" t="n">
        <f aca="false">SUM(F73)</f>
        <v>0</v>
      </c>
      <c r="H74" s="168"/>
      <c r="I74" s="168"/>
      <c r="J74" s="168"/>
      <c r="K74" s="168"/>
      <c r="L74" s="161"/>
      <c r="M74" s="161"/>
      <c r="N74" s="168"/>
    </row>
    <row r="75" s="3" customFormat="true" ht="16.5" hidden="false" customHeight="false" outlineLevel="0" collapsed="false">
      <c r="B75" s="44" t="s">
        <v>95</v>
      </c>
      <c r="C75" s="59"/>
      <c r="D75" s="59"/>
      <c r="E75" s="61"/>
      <c r="F75" s="61"/>
      <c r="H75" s="168"/>
      <c r="I75" s="168"/>
      <c r="J75" s="168"/>
      <c r="K75" s="168"/>
      <c r="L75" s="161"/>
      <c r="M75" s="161"/>
      <c r="N75" s="168"/>
    </row>
    <row r="76" s="3" customFormat="true" ht="16.5" hidden="false" customHeight="true" outlineLevel="0" collapsed="false">
      <c r="B76" s="66" t="n">
        <v>5</v>
      </c>
      <c r="C76" s="140" t="s">
        <v>97</v>
      </c>
      <c r="D76" s="140"/>
      <c r="E76" s="140"/>
      <c r="F76" s="141" t="s">
        <v>98</v>
      </c>
      <c r="H76" s="161"/>
      <c r="I76" s="161"/>
      <c r="J76" s="161"/>
      <c r="K76" s="161"/>
      <c r="L76" s="161"/>
      <c r="M76" s="161"/>
      <c r="N76" s="168"/>
    </row>
    <row r="77" s="3" customFormat="true" ht="16.5" hidden="false" customHeight="true" outlineLevel="0" collapsed="false">
      <c r="B77" s="142" t="s">
        <v>14</v>
      </c>
      <c r="C77" s="143" t="s">
        <v>248</v>
      </c>
      <c r="D77" s="143"/>
      <c r="E77" s="143"/>
      <c r="F77" s="144" t="n">
        <f aca="false">UNIFORMES!I14</f>
        <v>33.2241666666667</v>
      </c>
      <c r="H77" s="161"/>
      <c r="I77" s="161"/>
      <c r="J77" s="161"/>
      <c r="K77" s="161"/>
      <c r="L77" s="161"/>
      <c r="M77" s="161"/>
      <c r="N77" s="168"/>
    </row>
    <row r="78" customFormat="false" ht="16.5" hidden="false" customHeight="true" outlineLevel="0" collapsed="false">
      <c r="B78" s="142" t="s">
        <v>17</v>
      </c>
      <c r="C78" s="145" t="s">
        <v>249</v>
      </c>
      <c r="D78" s="145"/>
      <c r="E78" s="145"/>
      <c r="F78" s="146" t="n">
        <f aca="false">'MATERIAIS E EQUIPAMENTOS'!M43+'MATERIAIS E EQUIPAMENTOS'!M72</f>
        <v>458.295902777778</v>
      </c>
      <c r="L78" s="161"/>
      <c r="M78" s="161"/>
      <c r="N78" s="168"/>
    </row>
    <row r="79" customFormat="false" ht="16.5" hidden="false" customHeight="true" outlineLevel="0" collapsed="false">
      <c r="B79" s="142" t="s">
        <v>19</v>
      </c>
      <c r="C79" s="143" t="s">
        <v>250</v>
      </c>
      <c r="D79" s="143"/>
      <c r="E79" s="143"/>
      <c r="F79" s="144" t="n">
        <f aca="false">'MATERIAIS E EQUIPAMENTOS'!M94</f>
        <v>22.6162888888889</v>
      </c>
      <c r="L79" s="161"/>
      <c r="M79" s="161"/>
      <c r="N79" s="168"/>
    </row>
    <row r="80" customFormat="false" ht="15.75" hidden="false" customHeight="true" outlineLevel="0" collapsed="false">
      <c r="B80" s="142" t="s">
        <v>22</v>
      </c>
      <c r="C80" s="147" t="str">
        <f aca="false">'SERVENTE CG'!C80</f>
        <v>Outros Insumos</v>
      </c>
      <c r="D80" s="147"/>
      <c r="E80" s="147"/>
      <c r="F80" s="146"/>
      <c r="L80" s="161"/>
      <c r="M80" s="161"/>
      <c r="N80" s="161"/>
    </row>
    <row r="81" customFormat="false" ht="16.5" hidden="false" customHeight="true" outlineLevel="0" collapsed="false">
      <c r="B81" s="140" t="s">
        <v>215</v>
      </c>
      <c r="C81" s="140"/>
      <c r="D81" s="140"/>
      <c r="E81" s="140"/>
      <c r="F81" s="148" t="n">
        <f aca="false">SUM(F77:F80)</f>
        <v>514.136358333333</v>
      </c>
      <c r="L81" s="161"/>
      <c r="M81" s="161"/>
    </row>
    <row r="82" customFormat="false" ht="16.5" hidden="false" customHeight="true" outlineLevel="0" collapsed="false">
      <c r="B82" s="69" t="s">
        <v>99</v>
      </c>
      <c r="C82" s="69"/>
      <c r="D82" s="69"/>
      <c r="E82" s="69"/>
      <c r="F82" s="69"/>
      <c r="L82" s="161"/>
      <c r="M82" s="161"/>
    </row>
    <row r="83" customFormat="false" ht="16.5" hidden="false" customHeight="false" outlineLevel="0" collapsed="false">
      <c r="B83" s="19" t="n">
        <v>6</v>
      </c>
      <c r="C83" s="64" t="s">
        <v>252</v>
      </c>
      <c r="D83" s="64"/>
      <c r="E83" s="47" t="s">
        <v>86</v>
      </c>
      <c r="F83" s="47" t="s">
        <v>98</v>
      </c>
      <c r="L83" s="161"/>
      <c r="M83" s="161"/>
    </row>
    <row r="84" customFormat="false" ht="16.5" hidden="false" customHeight="true" outlineLevel="0" collapsed="false">
      <c r="B84" s="19" t="s">
        <v>14</v>
      </c>
      <c r="C84" s="71" t="s">
        <v>107</v>
      </c>
      <c r="D84" s="71"/>
      <c r="E84" s="149" t="n">
        <f aca="false">'INSERÇÃO-DE-DADOS_MÃO DE OBRA'!I68</f>
        <v>4.73</v>
      </c>
      <c r="F84" s="100" t="n">
        <f aca="false">E84%*(MOD_1_REMUNERACAO_SERV+MOD_2_ENCARGOS_BENEFICIOS_SERV+MOD_3_PROVISAO_RESCISAO_SERV+MOD_4_CUSTO_REPOSICAO_SERV+MOD_5_INSUMOS_SERV)</f>
        <v>120.507522786974</v>
      </c>
      <c r="L84" s="161"/>
      <c r="M84" s="161"/>
    </row>
    <row r="85" customFormat="false" ht="16.5" hidden="false" customHeight="true" outlineLevel="0" collapsed="false">
      <c r="B85" s="47" t="s">
        <v>17</v>
      </c>
      <c r="C85" s="23" t="s">
        <v>108</v>
      </c>
      <c r="D85" s="23"/>
      <c r="E85" s="150" t="n">
        <f aca="false">'INSERÇÃO-DE-DADOS_MÃO DE OBRA'!I69</f>
        <v>5.57</v>
      </c>
      <c r="F85" s="102" t="n">
        <f aca="false">E85%*(MOD_1_REMUNERACAO_SERV+MOD_2_ENCARGOS_BENEFICIOS_SERV+MOD_3_PROVISAO_RESCISAO_SERV+MOD_4_CUSTO_REPOSICAO_SERV+MOD_5_INSUMOS_SERV+AL_6_A_CUSTOS_INDIRETOS_SERV)</f>
        <v>148.620704943853</v>
      </c>
      <c r="L85" s="161"/>
      <c r="M85" s="161"/>
    </row>
    <row r="86" customFormat="false" ht="15" hidden="false" customHeight="true" outlineLevel="0" collapsed="false">
      <c r="B86" s="47" t="s">
        <v>19</v>
      </c>
      <c r="C86" s="71" t="s">
        <v>253</v>
      </c>
      <c r="D86" s="71"/>
      <c r="E86" s="149" t="n">
        <f aca="false">SUM(E87:E89)</f>
        <v>8.65</v>
      </c>
      <c r="F86" s="100" t="n">
        <f aca="false">SUM(F87:F89)</f>
        <v>266.730205212221</v>
      </c>
      <c r="L86" s="161"/>
      <c r="M86" s="161"/>
    </row>
    <row r="87" customFormat="false" ht="16.5" hidden="false" customHeight="true" outlineLevel="0" collapsed="false">
      <c r="B87" s="73" t="s">
        <v>109</v>
      </c>
      <c r="C87" s="151" t="s">
        <v>110</v>
      </c>
      <c r="D87" s="151"/>
      <c r="E87" s="152" t="n">
        <f aca="false">'INSERÇÃO-DE-DADOS_MÃO DE OBRA'!I70</f>
        <v>0.65</v>
      </c>
      <c r="F87" s="153" t="n">
        <f aca="false">((MOD_1_REMUNERACAO_SERV+MOD_2_ENCARGOS_BENEFICIOS_SERV+MOD_3_PROVISAO_RESCISAO_SERV+MOD_4_CUSTO_REPOSICAO_SERV+MOD_5_INSUMOS_SERV+AL_6_A_CUSTOS_INDIRETOS_SERV+AL_6_B_LUCRO_SERV)*E87%)/(1-PERC_TRIBUTOS%)</f>
        <v>20.0433102182594</v>
      </c>
      <c r="L87" s="161"/>
      <c r="M87" s="161"/>
    </row>
    <row r="88" customFormat="false" ht="16.5" hidden="false" customHeight="true" outlineLevel="0" collapsed="false">
      <c r="B88" s="73" t="s">
        <v>111</v>
      </c>
      <c r="C88" s="154" t="s">
        <v>112</v>
      </c>
      <c r="D88" s="154"/>
      <c r="E88" s="155" t="n">
        <f aca="false">'INSERÇÃO-DE-DADOS_MÃO DE OBRA'!I71</f>
        <v>3</v>
      </c>
      <c r="F88" s="156" t="n">
        <f aca="false">((MOD_1_REMUNERACAO_SERV+MOD_2_ENCARGOS_BENEFICIOS_SERV+MOD_3_PROVISAO_RESCISAO_SERV+MOD_4_CUSTO_REPOSICAO_SERV+MOD_5_INSUMOS_SERV+AL_6_A_CUSTOS_INDIRETOS_SERV+AL_6_B_LUCRO_SERV)*E88%)/(1-PERC_TRIBUTOS%)</f>
        <v>92.5075856227357</v>
      </c>
      <c r="L88" s="161"/>
      <c r="M88" s="161"/>
    </row>
    <row r="89" customFormat="false" ht="15.75" hidden="false" customHeight="true" outlineLevel="0" collapsed="false">
      <c r="B89" s="73" t="s">
        <v>113</v>
      </c>
      <c r="C89" s="151" t="s">
        <v>114</v>
      </c>
      <c r="D89" s="151"/>
      <c r="E89" s="152" t="n">
        <f aca="false">'INSERÇÃO-DE-DADOS_MÃO DE OBRA'!I72</f>
        <v>5</v>
      </c>
      <c r="F89" s="153" t="n">
        <f aca="false">((MOD_1_REMUNERACAO_SERV+MOD_2_ENCARGOS_BENEFICIOS_SERV+MOD_3_PROVISAO_RESCISAO_SERV+MOD_4_CUSTO_REPOSICAO_SERV+MOD_5_INSUMOS_SERV+AL_6_A_CUSTOS_INDIRETOS_SERV+AL_6_B_LUCRO_SERV)*E89%)/(1-PERC_TRIBUTOS%)</f>
        <v>154.179309371226</v>
      </c>
      <c r="L89" s="161"/>
      <c r="M89" s="161"/>
    </row>
    <row r="90" customFormat="false" ht="16.5" hidden="false" customHeight="false" outlineLevel="0" collapsed="false">
      <c r="B90" s="64" t="s">
        <v>215</v>
      </c>
      <c r="C90" s="64"/>
      <c r="D90" s="64"/>
      <c r="E90" s="64"/>
      <c r="F90" s="157" t="n">
        <f aca="false">AL_6_A_CUSTOS_INDIRETOS_SERV+AL_6_B_LUCRO_SERV+AL_6_C_TRIBUTOS_SERV</f>
        <v>535.858432943048</v>
      </c>
      <c r="L90" s="161"/>
      <c r="M90" s="161"/>
    </row>
    <row r="91" customFormat="false" ht="15.75" hidden="false" customHeight="true" outlineLevel="0" collapsed="false">
      <c r="B91" s="158" t="s">
        <v>254</v>
      </c>
      <c r="C91" s="159"/>
      <c r="D91" s="159"/>
      <c r="E91" s="159"/>
      <c r="F91" s="160"/>
      <c r="L91" s="161"/>
      <c r="M91" s="161"/>
    </row>
    <row r="92" customFormat="false" ht="16.5" hidden="false" customHeight="true" outlineLevel="0" collapsed="false">
      <c r="B92" s="47" t="s">
        <v>255</v>
      </c>
      <c r="C92" s="46" t="s">
        <v>256</v>
      </c>
      <c r="D92" s="46"/>
      <c r="E92" s="46"/>
      <c r="F92" s="47" t="s">
        <v>257</v>
      </c>
      <c r="L92" s="161"/>
      <c r="M92" s="161"/>
    </row>
    <row r="93" s="67" customFormat="true" ht="16.5" hidden="false" customHeight="true" outlineLevel="0" collapsed="false">
      <c r="B93" s="19" t="n">
        <v>1</v>
      </c>
      <c r="C93" s="71" t="s">
        <v>49</v>
      </c>
      <c r="D93" s="71"/>
      <c r="E93" s="71"/>
      <c r="F93" s="100" t="n">
        <f aca="false">MOD_1_REMUNERACAO_SERV</f>
        <v>1032</v>
      </c>
      <c r="H93" s="161"/>
      <c r="I93" s="161"/>
      <c r="J93" s="161"/>
      <c r="K93" s="161"/>
      <c r="L93" s="161"/>
      <c r="M93" s="161"/>
      <c r="N93" s="162"/>
    </row>
    <row r="94" s="67" customFormat="true" ht="16.5" hidden="false" customHeight="true" outlineLevel="0" collapsed="false">
      <c r="B94" s="47" t="n">
        <v>2</v>
      </c>
      <c r="C94" s="23" t="s">
        <v>258</v>
      </c>
      <c r="D94" s="23"/>
      <c r="E94" s="23"/>
      <c r="F94" s="102" t="n">
        <f aca="false">MOD_2_ENCARGOS_BENEFICIOS_SERV</f>
        <v>776.34</v>
      </c>
      <c r="H94" s="161"/>
      <c r="I94" s="161"/>
      <c r="J94" s="161"/>
      <c r="K94" s="161"/>
      <c r="L94" s="161"/>
      <c r="M94" s="161"/>
      <c r="N94" s="162"/>
    </row>
    <row r="95" s="67" customFormat="true" ht="16.5" hidden="false" customHeight="true" outlineLevel="0" collapsed="false">
      <c r="B95" s="47" t="n">
        <v>3</v>
      </c>
      <c r="C95" s="71" t="s">
        <v>177</v>
      </c>
      <c r="D95" s="71"/>
      <c r="E95" s="71"/>
      <c r="F95" s="100" t="n">
        <f aca="false">MOD_3_PROVISAO_RESCISAO_SERV</f>
        <v>27.8120167636518</v>
      </c>
      <c r="H95" s="161"/>
      <c r="I95" s="161"/>
      <c r="J95" s="161"/>
      <c r="K95" s="161"/>
      <c r="L95" s="161"/>
      <c r="M95" s="161"/>
      <c r="N95" s="162"/>
    </row>
    <row r="96" s="70" customFormat="true" ht="16.5" hidden="false" customHeight="true" outlineLevel="0" collapsed="false">
      <c r="B96" s="47" t="n">
        <v>4</v>
      </c>
      <c r="C96" s="23" t="s">
        <v>259</v>
      </c>
      <c r="D96" s="23"/>
      <c r="E96" s="23"/>
      <c r="F96" s="102" t="n">
        <f aca="false">MOD_4_CUSTO_REPOSICAO_SERV</f>
        <v>197.439379384492</v>
      </c>
      <c r="H96" s="161"/>
      <c r="I96" s="161"/>
      <c r="J96" s="161"/>
      <c r="K96" s="161"/>
      <c r="L96" s="161"/>
      <c r="M96" s="161"/>
      <c r="N96" s="162"/>
    </row>
    <row r="97" s="67" customFormat="true" ht="16.5" hidden="false" customHeight="true" outlineLevel="0" collapsed="false">
      <c r="B97" s="47" t="n">
        <v>5</v>
      </c>
      <c r="C97" s="71" t="s">
        <v>97</v>
      </c>
      <c r="D97" s="71"/>
      <c r="E97" s="71"/>
      <c r="F97" s="100" t="n">
        <f aca="false">MOD_5_INSUMOS_SERV</f>
        <v>514.136358333333</v>
      </c>
      <c r="H97" s="161"/>
      <c r="I97" s="161"/>
      <c r="J97" s="161"/>
      <c r="K97" s="161"/>
      <c r="L97" s="161"/>
      <c r="M97" s="161"/>
      <c r="N97" s="162"/>
    </row>
    <row r="98" s="68" customFormat="true" ht="16.5" hidden="false" customHeight="true" outlineLevel="0" collapsed="false">
      <c r="B98" s="47" t="n">
        <v>6</v>
      </c>
      <c r="C98" s="23" t="s">
        <v>252</v>
      </c>
      <c r="D98" s="23"/>
      <c r="E98" s="23"/>
      <c r="F98" s="102" t="n">
        <f aca="false">MOD_6_CUSTOS_IND_LUCRO_TRIB_SERV</f>
        <v>535.858432943048</v>
      </c>
      <c r="H98" s="161"/>
      <c r="I98" s="161"/>
      <c r="J98" s="161"/>
      <c r="K98" s="161"/>
      <c r="L98" s="161"/>
      <c r="M98" s="161"/>
      <c r="N98" s="162"/>
    </row>
    <row r="99" s="68" customFormat="true" ht="16.5" hidden="false" customHeight="true" outlineLevel="0" collapsed="false">
      <c r="B99" s="46" t="s">
        <v>263</v>
      </c>
      <c r="C99" s="46"/>
      <c r="D99" s="46"/>
      <c r="E99" s="46"/>
      <c r="F99" s="157" t="n">
        <f aca="false">SUM(F93:F98)</f>
        <v>3083.58618742453</v>
      </c>
      <c r="H99" s="161"/>
      <c r="I99" s="161"/>
      <c r="J99" s="161"/>
      <c r="K99" s="161"/>
      <c r="L99" s="161"/>
      <c r="M99" s="161"/>
      <c r="N99" s="162"/>
    </row>
    <row r="100" s="68" customFormat="true" ht="16.5" hidden="false" customHeight="false" outlineLevel="0" collapsed="false">
      <c r="B100" s="1"/>
      <c r="C100" s="1"/>
      <c r="D100" s="1"/>
      <c r="E100" s="1"/>
      <c r="F100" s="1"/>
      <c r="H100" s="161"/>
      <c r="I100" s="161"/>
      <c r="J100" s="161"/>
      <c r="K100" s="161"/>
      <c r="L100" s="161"/>
      <c r="M100" s="161"/>
      <c r="N100" s="162"/>
    </row>
    <row r="101" customFormat="false" ht="16.5" hidden="false" customHeight="true" outlineLevel="0" collapsed="false">
      <c r="L101" s="161"/>
      <c r="M101" s="161"/>
    </row>
    <row r="102" customFormat="false" ht="16.5" hidden="false" customHeight="true" outlineLevel="0" collapsed="false">
      <c r="L102" s="161"/>
      <c r="M102" s="161"/>
    </row>
    <row r="103" customFormat="false" ht="16.5" hidden="false" customHeight="false" outlineLevel="0" collapsed="false">
      <c r="L103" s="161"/>
      <c r="M103" s="161"/>
    </row>
    <row r="104" customFormat="false" ht="16.5" hidden="false" customHeight="false" outlineLevel="0" collapsed="false">
      <c r="L104" s="161"/>
      <c r="M104" s="161"/>
    </row>
    <row r="105" customFormat="false" ht="16.5" hidden="false" customHeight="false" outlineLevel="0" collapsed="false">
      <c r="L105" s="161"/>
      <c r="M105" s="161"/>
    </row>
    <row r="106" customFormat="false" ht="16.5" hidden="false" customHeight="false" outlineLevel="0" collapsed="false">
      <c r="L106" s="161"/>
      <c r="M106" s="161"/>
    </row>
    <row r="107" customFormat="false" ht="16.5" hidden="false" customHeight="false" outlineLevel="0" collapsed="false">
      <c r="L107" s="161"/>
      <c r="M107" s="161"/>
    </row>
    <row r="108" customFormat="false" ht="16.5" hidden="false" customHeight="false" outlineLevel="0" collapsed="false">
      <c r="L108" s="161"/>
      <c r="M108" s="161"/>
    </row>
    <row r="109" customFormat="false" ht="16.5" hidden="false" customHeight="false" outlineLevel="0" collapsed="false">
      <c r="L109" s="161"/>
      <c r="M109" s="161"/>
      <c r="N109" s="161"/>
    </row>
    <row r="110" customFormat="false" ht="16.5" hidden="false" customHeight="false" outlineLevel="0" collapsed="false">
      <c r="L110" s="161"/>
      <c r="M110" s="161"/>
      <c r="N110" s="161"/>
    </row>
    <row r="111" customFormat="false" ht="16.5" hidden="false" customHeight="false" outlineLevel="0" collapsed="false">
      <c r="L111" s="161"/>
      <c r="M111" s="161"/>
      <c r="N111" s="161"/>
    </row>
    <row r="112" customFormat="false" ht="16.5" hidden="false" customHeight="false" outlineLevel="0" collapsed="false">
      <c r="L112" s="161"/>
      <c r="M112" s="161"/>
      <c r="N112" s="161"/>
    </row>
    <row r="113" customFormat="false" ht="16.5" hidden="false" customHeight="false" outlineLevel="0" collapsed="false">
      <c r="L113" s="161"/>
      <c r="M113" s="161"/>
      <c r="N113" s="161"/>
    </row>
    <row r="114" customFormat="false" ht="16.5" hidden="false" customHeight="false" outlineLevel="0" collapsed="false">
      <c r="L114" s="161"/>
      <c r="M114" s="161"/>
      <c r="N114" s="161"/>
    </row>
    <row r="115" customFormat="false" ht="16.5" hidden="false" customHeight="false" outlineLevel="0" collapsed="false">
      <c r="L115" s="161"/>
      <c r="M115" s="161"/>
      <c r="N115" s="161"/>
    </row>
    <row r="116" customFormat="false" ht="16.5" hidden="false" customHeight="false" outlineLevel="0" collapsed="false">
      <c r="H116" s="169"/>
      <c r="I116" s="169"/>
      <c r="J116" s="169"/>
      <c r="K116" s="169"/>
      <c r="L116" s="169"/>
      <c r="M116" s="169"/>
      <c r="N116" s="169"/>
    </row>
    <row r="117" customFormat="false" ht="16.5" hidden="false" customHeight="false" outlineLevel="0" collapsed="false">
      <c r="H117" s="169"/>
      <c r="I117" s="169"/>
      <c r="J117" s="169"/>
      <c r="K117" s="169"/>
      <c r="L117" s="169"/>
      <c r="M117" s="169"/>
      <c r="N117" s="169"/>
    </row>
    <row r="118" customFormat="false" ht="16.5" hidden="false" customHeight="false" outlineLevel="0" collapsed="false">
      <c r="H118" s="169"/>
      <c r="I118" s="169"/>
      <c r="J118" s="169"/>
      <c r="K118" s="169"/>
      <c r="L118" s="169"/>
      <c r="M118" s="169"/>
      <c r="N118" s="169"/>
    </row>
    <row r="119" customFormat="false" ht="16.5" hidden="false" customHeight="false" outlineLevel="0" collapsed="false">
      <c r="H119" s="169"/>
      <c r="I119" s="169"/>
      <c r="J119" s="169"/>
      <c r="K119" s="169"/>
      <c r="L119" s="169"/>
      <c r="M119" s="169"/>
      <c r="N119" s="169"/>
    </row>
    <row r="120" customFormat="false" ht="16.5" hidden="false" customHeight="false" outlineLevel="0" collapsed="false">
      <c r="H120" s="169"/>
      <c r="I120" s="169"/>
      <c r="J120" s="169"/>
      <c r="K120" s="169"/>
      <c r="L120" s="169"/>
      <c r="M120" s="169"/>
      <c r="N120" s="169"/>
    </row>
    <row r="121" customFormat="false" ht="16.5" hidden="false" customHeight="false" outlineLevel="0" collapsed="false">
      <c r="H121" s="170"/>
      <c r="I121" s="170"/>
      <c r="J121" s="170"/>
      <c r="K121" s="170"/>
      <c r="L121" s="170"/>
      <c r="M121" s="170"/>
      <c r="N121" s="170"/>
    </row>
    <row r="122" customFormat="false" ht="16.5" hidden="false" customHeight="false" outlineLevel="0" collapsed="false">
      <c r="H122" s="169"/>
      <c r="I122" s="169"/>
      <c r="J122" s="169"/>
      <c r="K122" s="169"/>
      <c r="L122" s="169"/>
      <c r="M122" s="169"/>
      <c r="N122" s="169"/>
    </row>
    <row r="123" customFormat="false" ht="16.5" hidden="false" customHeight="false" outlineLevel="0" collapsed="false">
      <c r="H123" s="113"/>
      <c r="I123" s="113"/>
      <c r="J123" s="113"/>
      <c r="K123" s="113"/>
      <c r="L123" s="113"/>
      <c r="M123" s="113"/>
      <c r="N123" s="113"/>
    </row>
    <row r="124" customFormat="false" ht="16.5" hidden="false" customHeight="false" outlineLevel="0" collapsed="false">
      <c r="H124" s="113"/>
      <c r="I124" s="113"/>
      <c r="J124" s="113"/>
      <c r="K124" s="113"/>
      <c r="L124" s="113"/>
      <c r="M124" s="113"/>
      <c r="N124" s="113"/>
    </row>
    <row r="125" customFormat="false" ht="16.5" hidden="false" customHeight="false" outlineLevel="0" collapsed="false">
      <c r="H125" s="113"/>
      <c r="I125" s="113"/>
      <c r="J125" s="113"/>
      <c r="K125" s="113"/>
      <c r="L125" s="113"/>
      <c r="M125" s="113"/>
      <c r="N125" s="113"/>
    </row>
    <row r="126" customFormat="false" ht="16.5" hidden="false" customHeight="false" outlineLevel="0" collapsed="false">
      <c r="H126" s="113"/>
      <c r="I126" s="113"/>
      <c r="J126" s="113"/>
      <c r="K126" s="113"/>
      <c r="L126" s="113"/>
      <c r="M126" s="113"/>
      <c r="N126" s="113"/>
    </row>
    <row r="127" customFormat="false" ht="16.5" hidden="false" customHeight="false" outlineLevel="0" collapsed="false">
      <c r="H127" s="113"/>
      <c r="I127" s="113"/>
      <c r="J127" s="113"/>
      <c r="K127" s="113"/>
      <c r="L127" s="113"/>
      <c r="M127" s="113"/>
      <c r="N127" s="113"/>
    </row>
    <row r="128" customFormat="false" ht="16.5" hidden="false" customHeight="false" outlineLevel="0" collapsed="false">
      <c r="L128" s="161"/>
      <c r="M128" s="161"/>
      <c r="N128" s="161"/>
    </row>
    <row r="129" customFormat="false" ht="16.5" hidden="false" customHeight="false" outlineLevel="0" collapsed="false">
      <c r="L129" s="161"/>
      <c r="M129" s="161"/>
      <c r="N129" s="161"/>
    </row>
    <row r="130" customFormat="false" ht="16.5" hidden="false" customHeight="false" outlineLevel="0" collapsed="false">
      <c r="L130" s="161"/>
      <c r="M130" s="161"/>
      <c r="N130" s="161"/>
    </row>
    <row r="131" customFormat="false" ht="16.5" hidden="false" customHeight="false" outlineLevel="0" collapsed="false">
      <c r="L131" s="161"/>
      <c r="M131" s="161"/>
      <c r="N131" s="161"/>
    </row>
    <row r="132" customFormat="false" ht="16.5" hidden="false" customHeight="false" outlineLevel="0" collapsed="false">
      <c r="L132" s="161"/>
      <c r="M132" s="161"/>
      <c r="N132" s="161"/>
    </row>
    <row r="133" customFormat="false" ht="16.5" hidden="false" customHeight="false" outlineLevel="0" collapsed="false">
      <c r="L133" s="161"/>
      <c r="M133" s="161"/>
      <c r="N133" s="161"/>
    </row>
    <row r="134" customFormat="false" ht="16.5" hidden="false" customHeight="false" outlineLevel="0" collapsed="false">
      <c r="L134" s="161"/>
      <c r="M134" s="161"/>
      <c r="N134" s="161"/>
    </row>
    <row r="144" customFormat="false" ht="16.5" hidden="false" customHeight="false" outlineLevel="0" collapsed="false">
      <c r="H144" s="162"/>
      <c r="I144" s="162"/>
      <c r="J144" s="162"/>
      <c r="K144" s="162"/>
    </row>
    <row r="145" customFormat="false" ht="16.5" hidden="false" customHeight="false" outlineLevel="0" collapsed="false">
      <c r="H145" s="162"/>
      <c r="I145" s="162"/>
      <c r="J145" s="162"/>
      <c r="K145" s="162"/>
    </row>
    <row r="146" customFormat="false" ht="16.5" hidden="false" customHeight="false" outlineLevel="0" collapsed="false">
      <c r="H146" s="162"/>
      <c r="I146" s="162"/>
      <c r="J146" s="162"/>
      <c r="K146" s="162"/>
    </row>
    <row r="147" customFormat="false" ht="16.5" hidden="false" customHeight="false" outlineLevel="0" collapsed="false">
      <c r="H147" s="162"/>
      <c r="I147" s="162"/>
      <c r="J147" s="162"/>
      <c r="K147" s="162"/>
    </row>
    <row r="148" customFormat="false" ht="16.5" hidden="false" customHeight="false" outlineLevel="0" collapsed="false">
      <c r="H148" s="162"/>
      <c r="I148" s="162"/>
      <c r="J148" s="162"/>
      <c r="K148" s="162"/>
    </row>
    <row r="149" customFormat="false" ht="16.5" hidden="false" customHeight="false" outlineLevel="0" collapsed="false">
      <c r="H149" s="162"/>
      <c r="I149" s="162"/>
      <c r="J149" s="162"/>
      <c r="K149" s="162"/>
    </row>
    <row r="150" customFormat="false" ht="16.5" hidden="false" customHeight="false" outlineLevel="0" collapsed="false">
      <c r="H150" s="162"/>
      <c r="I150" s="162"/>
      <c r="J150" s="162"/>
      <c r="K150" s="162"/>
    </row>
    <row r="151" customFormat="false" ht="16.5" hidden="false" customHeight="false" outlineLevel="0" collapsed="false">
      <c r="H151" s="162"/>
      <c r="I151" s="162"/>
      <c r="J151" s="162"/>
      <c r="K151" s="162"/>
    </row>
    <row r="152" customFormat="false" ht="16.5" hidden="false" customHeight="false" outlineLevel="0" collapsed="false">
      <c r="H152" s="162"/>
      <c r="I152" s="162"/>
      <c r="J152" s="162"/>
      <c r="K152" s="162"/>
    </row>
    <row r="153" customFormat="false" ht="16.5" hidden="false" customHeight="false" outlineLevel="0" collapsed="false">
      <c r="H153" s="162"/>
      <c r="I153" s="162"/>
      <c r="J153" s="162"/>
      <c r="K153" s="162"/>
    </row>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A22" colorId="64" zoomScale="113" zoomScaleNormal="113" zoomScalePageLayoutView="100" workbookViewId="0">
      <selection pane="topLeft" activeCell="A1" activeCellId="0" sqref="A1"/>
    </sheetView>
  </sheetViews>
  <sheetFormatPr defaultRowHeight="13.8" zeroHeight="false" outlineLevelRow="0" outlineLevelCol="0"/>
  <cols>
    <col collapsed="false" customWidth="true" hidden="false" outlineLevel="0" max="1" min="1" style="166" width="1.12"/>
    <col collapsed="false" customWidth="true" hidden="false" outlineLevel="0" max="2" min="2" style="161" width="20.71"/>
    <col collapsed="false" customWidth="true" hidden="false" outlineLevel="0" max="3" min="3" style="113" width="20.42"/>
    <col collapsed="false" customWidth="true" hidden="false" outlineLevel="0" max="4" min="4" style="161" width="18.58"/>
    <col collapsed="false" customWidth="true" hidden="false" outlineLevel="0" max="5" min="5" style="161" width="17.4"/>
    <col collapsed="false" customWidth="true" hidden="false" outlineLevel="0" max="6" min="6" style="161" width="19.01"/>
    <col collapsed="false" customWidth="true" hidden="false" outlineLevel="0" max="7" min="7" style="162" width="17.71"/>
    <col collapsed="false" customWidth="true" hidden="false" outlineLevel="0" max="8" min="8" style="162" width="18.85"/>
    <col collapsed="false" customWidth="true" hidden="false" outlineLevel="0" max="9" min="9" style="162" width="17.29"/>
    <col collapsed="false" customWidth="true" hidden="false" outlineLevel="0" max="257" min="10" style="166" width="9.13"/>
    <col collapsed="false" customWidth="true" hidden="false" outlineLevel="0" max="258" min="258" style="166" width="1.12"/>
    <col collapsed="false" customWidth="true" hidden="false" outlineLevel="0" max="259" min="259" style="166" width="20.71"/>
    <col collapsed="false" customWidth="true" hidden="false" outlineLevel="0" max="260" min="260" style="166" width="23.42"/>
    <col collapsed="false" customWidth="true" hidden="false" outlineLevel="0" max="261" min="261" style="166" width="20.57"/>
    <col collapsed="false" customWidth="true" hidden="false" outlineLevel="0" max="262" min="262" style="166" width="19.99"/>
    <col collapsed="false" customWidth="true" hidden="false" outlineLevel="0" max="263" min="263" style="166" width="23.15"/>
    <col collapsed="false" customWidth="true" hidden="false" outlineLevel="0" max="264" min="264" style="166" width="13.57"/>
    <col collapsed="false" customWidth="true" hidden="false" outlineLevel="0" max="265" min="265" style="166" width="17.29"/>
    <col collapsed="false" customWidth="true" hidden="false" outlineLevel="0" max="513" min="266" style="166" width="9.13"/>
    <col collapsed="false" customWidth="true" hidden="false" outlineLevel="0" max="514" min="514" style="166" width="1.12"/>
    <col collapsed="false" customWidth="true" hidden="false" outlineLevel="0" max="515" min="515" style="166" width="20.71"/>
    <col collapsed="false" customWidth="true" hidden="false" outlineLevel="0" max="516" min="516" style="166" width="23.42"/>
    <col collapsed="false" customWidth="true" hidden="false" outlineLevel="0" max="517" min="517" style="166" width="20.57"/>
    <col collapsed="false" customWidth="true" hidden="false" outlineLevel="0" max="518" min="518" style="166" width="19.99"/>
    <col collapsed="false" customWidth="true" hidden="false" outlineLevel="0" max="519" min="519" style="166" width="23.15"/>
    <col collapsed="false" customWidth="true" hidden="false" outlineLevel="0" max="520" min="520" style="166" width="13.57"/>
    <col collapsed="false" customWidth="true" hidden="false" outlineLevel="0" max="521" min="521" style="166" width="17.29"/>
    <col collapsed="false" customWidth="true" hidden="false" outlineLevel="0" max="769" min="522" style="166" width="9.13"/>
    <col collapsed="false" customWidth="true" hidden="false" outlineLevel="0" max="770" min="770" style="166" width="1.12"/>
    <col collapsed="false" customWidth="true" hidden="false" outlineLevel="0" max="771" min="771" style="166" width="20.71"/>
    <col collapsed="false" customWidth="true" hidden="false" outlineLevel="0" max="772" min="772" style="166" width="23.42"/>
    <col collapsed="false" customWidth="true" hidden="false" outlineLevel="0" max="773" min="773" style="166" width="20.57"/>
    <col collapsed="false" customWidth="true" hidden="false" outlineLevel="0" max="774" min="774" style="166" width="19.99"/>
    <col collapsed="false" customWidth="true" hidden="false" outlineLevel="0" max="775" min="775" style="166" width="23.15"/>
    <col collapsed="false" customWidth="true" hidden="false" outlineLevel="0" max="776" min="776" style="166" width="13.57"/>
    <col collapsed="false" customWidth="true" hidden="false" outlineLevel="0" max="777" min="777" style="166" width="17.29"/>
    <col collapsed="false" customWidth="true" hidden="false" outlineLevel="0" max="1025" min="778" style="166" width="9.13"/>
  </cols>
  <sheetData>
    <row r="1" s="171" customFormat="true" ht="17.35" hidden="false" customHeight="false" outlineLevel="0" collapsed="false">
      <c r="B1" s="172" t="str">
        <f aca="false">RAMO</f>
        <v>RAMO: MINISTÉRIO PÚBLICO FEDERAL</v>
      </c>
      <c r="C1" s="172"/>
      <c r="D1" s="172"/>
      <c r="E1" s="172"/>
      <c r="F1" s="172"/>
      <c r="G1" s="172"/>
      <c r="H1" s="172"/>
      <c r="I1" s="172"/>
    </row>
    <row r="2" s="171" customFormat="true" ht="17.35" hidden="false" customHeight="false" outlineLevel="0" collapsed="false">
      <c r="B2" s="173" t="str">
        <f aca="false">UG</f>
        <v>UNIDADE GESTORA (SIGLA): PRMS</v>
      </c>
      <c r="C2" s="173"/>
      <c r="D2" s="173"/>
      <c r="E2" s="173"/>
      <c r="F2" s="173"/>
      <c r="G2" s="173"/>
      <c r="H2" s="116" t="s">
        <v>2</v>
      </c>
      <c r="I2" s="117" t="str">
        <f aca="false">IF(DATA_DO_ORCAMENTO_ESTIMATIVO="","",DATA_DO_ORCAMENTO_ESTIMATIVO)</f>
        <v/>
      </c>
    </row>
    <row r="3" customFormat="false" ht="9" hidden="false" customHeight="true" outlineLevel="0" collapsed="false"/>
    <row r="4" customFormat="false" ht="17.35" hidden="false" customHeight="false" outlineLevel="0" collapsed="false">
      <c r="B4" s="174" t="s">
        <v>264</v>
      </c>
      <c r="C4" s="174"/>
      <c r="D4" s="174"/>
      <c r="E4" s="174"/>
      <c r="F4" s="174"/>
      <c r="G4" s="174"/>
      <c r="H4" s="174"/>
      <c r="I4" s="174"/>
    </row>
    <row r="5" customFormat="false" ht="15" hidden="false" customHeight="true" outlineLevel="0" collapsed="false">
      <c r="B5" s="175" t="s">
        <v>265</v>
      </c>
      <c r="C5" s="175"/>
      <c r="D5" s="175"/>
      <c r="E5" s="175"/>
      <c r="F5" s="175"/>
      <c r="G5" s="175"/>
      <c r="H5" s="175"/>
      <c r="I5" s="175"/>
    </row>
    <row r="6" s="176" customFormat="true" ht="10.5" hidden="false" customHeight="true" outlineLevel="0" collapsed="false">
      <c r="B6" s="177"/>
      <c r="C6" s="178"/>
      <c r="D6" s="177"/>
      <c r="E6" s="177"/>
      <c r="F6" s="177"/>
      <c r="G6" s="177"/>
      <c r="H6" s="177"/>
      <c r="I6" s="177"/>
    </row>
    <row r="7" customFormat="false" ht="15" hidden="false" customHeight="true" outlineLevel="0" collapsed="false">
      <c r="B7" s="175" t="s">
        <v>322</v>
      </c>
      <c r="C7" s="175"/>
      <c r="D7" s="175"/>
      <c r="E7" s="175"/>
      <c r="F7" s="175"/>
      <c r="G7" s="175"/>
      <c r="H7" s="175"/>
      <c r="I7" s="175"/>
    </row>
    <row r="8" customFormat="false" ht="14.25" hidden="false" customHeight="true" outlineLevel="0" collapsed="false">
      <c r="B8" s="179" t="s">
        <v>267</v>
      </c>
      <c r="C8" s="179"/>
      <c r="D8" s="179"/>
      <c r="E8" s="179"/>
      <c r="F8" s="179"/>
      <c r="G8" s="179"/>
      <c r="H8" s="179"/>
      <c r="I8" s="179"/>
    </row>
    <row r="9" customFormat="false" ht="15.75" hidden="false" customHeight="true" outlineLevel="0" collapsed="false">
      <c r="B9" s="179"/>
      <c r="C9" s="179"/>
      <c r="D9" s="179"/>
      <c r="E9" s="179"/>
      <c r="F9" s="179"/>
      <c r="G9" s="179"/>
      <c r="H9" s="179"/>
      <c r="I9" s="179"/>
    </row>
    <row r="10" customFormat="false" ht="12.75" hidden="false" customHeight="true" outlineLevel="0" collapsed="false">
      <c r="A10" s="180"/>
      <c r="B10" s="19" t="s">
        <v>268</v>
      </c>
      <c r="C10" s="47" t="s">
        <v>269</v>
      </c>
      <c r="D10" s="47" t="s">
        <v>270</v>
      </c>
      <c r="E10" s="47" t="s">
        <v>271</v>
      </c>
      <c r="F10" s="47" t="s">
        <v>272</v>
      </c>
      <c r="G10" s="181"/>
      <c r="I10" s="166"/>
    </row>
    <row r="11" customFormat="false" ht="21" hidden="false" customHeight="true" outlineLevel="0" collapsed="false">
      <c r="A11" s="180"/>
      <c r="B11" s="19"/>
      <c r="C11" s="47"/>
      <c r="D11" s="47"/>
      <c r="E11" s="47"/>
      <c r="F11" s="47"/>
      <c r="G11" s="181"/>
      <c r="I11" s="166"/>
    </row>
    <row r="12" customFormat="false" ht="15.75" hidden="false" customHeight="false" outlineLevel="0" collapsed="false">
      <c r="A12" s="180"/>
      <c r="B12" s="84" t="s">
        <v>275</v>
      </c>
      <c r="C12" s="88" t="s">
        <v>274</v>
      </c>
      <c r="D12" s="183" t="n">
        <f aca="false">1/'INSERÇÃO-DE-DADOS_PRODUTIVIDADE'!O9</f>
        <v>0.00125</v>
      </c>
      <c r="E12" s="184" t="n">
        <f aca="false">'SERVENTE NAV'!F99</f>
        <v>3083.58618742453</v>
      </c>
      <c r="F12" s="184" t="n">
        <f aca="false">D12*E12</f>
        <v>3.85448273428066</v>
      </c>
      <c r="G12" s="181"/>
      <c r="I12" s="166"/>
    </row>
    <row r="13" customFormat="false" ht="15.75" hidden="false" customHeight="false" outlineLevel="0" collapsed="false">
      <c r="A13" s="180"/>
      <c r="B13" s="84" t="s">
        <v>275</v>
      </c>
      <c r="C13" s="88" t="s">
        <v>277</v>
      </c>
      <c r="D13" s="183" t="n">
        <f aca="false">1/'INSERÇÃO-DE-DADOS_PRODUTIVIDADE'!O10</f>
        <v>0.000666666666666667</v>
      </c>
      <c r="E13" s="184" t="n">
        <f aca="false">'SERVENTE NAV'!F99</f>
        <v>3083.58618742453</v>
      </c>
      <c r="F13" s="184" t="n">
        <f aca="false">D13*E13</f>
        <v>2.05572412494968</v>
      </c>
      <c r="G13" s="181"/>
      <c r="I13" s="166"/>
    </row>
    <row r="14" customFormat="false" ht="15.75" hidden="false" customHeight="false" outlineLevel="0" collapsed="false">
      <c r="A14" s="180"/>
      <c r="B14" s="84" t="s">
        <v>275</v>
      </c>
      <c r="C14" s="88" t="s">
        <v>279</v>
      </c>
      <c r="D14" s="183" t="n">
        <f aca="false">1/'INSERÇÃO-DE-DADOS_PRODUTIVIDADE'!O11</f>
        <v>0.005</v>
      </c>
      <c r="E14" s="184" t="n">
        <f aca="false">'SERVENTE NAV'!F99</f>
        <v>3083.58618742453</v>
      </c>
      <c r="F14" s="184" t="n">
        <f aca="false">D14*E14</f>
        <v>15.4179309371226</v>
      </c>
      <c r="G14" s="181"/>
      <c r="I14" s="166"/>
    </row>
    <row r="15" customFormat="false" ht="3.75" hidden="false" customHeight="true" outlineLevel="0" collapsed="false">
      <c r="B15" s="182"/>
      <c r="C15" s="188"/>
      <c r="D15" s="189"/>
      <c r="E15" s="189"/>
      <c r="F15" s="189"/>
      <c r="G15" s="190"/>
      <c r="I15" s="166"/>
    </row>
    <row r="16" s="191" customFormat="true" ht="15.75" hidden="false" customHeight="true" outlineLevel="0" collapsed="false">
      <c r="B16" s="179" t="s">
        <v>309</v>
      </c>
      <c r="C16" s="179"/>
      <c r="D16" s="179"/>
      <c r="E16" s="179"/>
      <c r="F16" s="179"/>
      <c r="G16" s="179"/>
      <c r="H16" s="179"/>
      <c r="I16" s="179"/>
    </row>
    <row r="17" s="191" customFormat="true" ht="12.8" hidden="false" customHeight="false" outlineLevel="0" collapsed="false">
      <c r="B17" s="179"/>
      <c r="C17" s="179"/>
      <c r="D17" s="179"/>
      <c r="E17" s="179"/>
      <c r="F17" s="179"/>
      <c r="G17" s="179"/>
      <c r="H17" s="179"/>
      <c r="I17" s="179"/>
    </row>
    <row r="18" customFormat="false" ht="12.8" hidden="false" customHeight="true" outlineLevel="0" collapsed="false">
      <c r="A18" s="180"/>
      <c r="B18" s="19" t="s">
        <v>268</v>
      </c>
      <c r="C18" s="47" t="s">
        <v>269</v>
      </c>
      <c r="D18" s="47" t="s">
        <v>270</v>
      </c>
      <c r="E18" s="47" t="s">
        <v>271</v>
      </c>
      <c r="F18" s="47" t="s">
        <v>272</v>
      </c>
      <c r="G18" s="181"/>
    </row>
    <row r="19" customFormat="false" ht="31.5" hidden="false" customHeight="true" outlineLevel="0" collapsed="false">
      <c r="A19" s="180"/>
      <c r="B19" s="19"/>
      <c r="C19" s="47"/>
      <c r="D19" s="47"/>
      <c r="E19" s="47"/>
      <c r="F19" s="47"/>
      <c r="G19" s="181"/>
      <c r="H19" s="161"/>
    </row>
    <row r="20" customFormat="false" ht="15.75" hidden="false" customHeight="false" outlineLevel="0" collapsed="false">
      <c r="A20" s="180"/>
      <c r="B20" s="84" t="s">
        <v>275</v>
      </c>
      <c r="C20" s="88" t="s">
        <v>282</v>
      </c>
      <c r="D20" s="183" t="n">
        <f aca="false">1/'INSERÇÃO-DE-DADOS_PRODUTIVIDADE'!O12</f>
        <v>0.000555555555555556</v>
      </c>
      <c r="E20" s="184" t="n">
        <f aca="false">'SERVENTE NAV'!F99</f>
        <v>3083.58618742453</v>
      </c>
      <c r="F20" s="184" t="n">
        <f aca="false">D20*E20</f>
        <v>1.71310343745807</v>
      </c>
      <c r="G20" s="181"/>
      <c r="H20" s="161"/>
    </row>
    <row r="21" customFormat="false" ht="46.4" hidden="false" customHeight="false" outlineLevel="0" collapsed="false">
      <c r="A21" s="180"/>
      <c r="B21" s="84" t="s">
        <v>275</v>
      </c>
      <c r="C21" s="88" t="s">
        <v>284</v>
      </c>
      <c r="D21" s="183" t="n">
        <f aca="false">1/'INSERÇÃO-DE-DADOS_PRODUTIVIDADE'!O13</f>
        <v>0.000166666666666667</v>
      </c>
      <c r="E21" s="184" t="n">
        <f aca="false">'SERVENTE NAV'!F99</f>
        <v>3083.58618742453</v>
      </c>
      <c r="F21" s="184" t="n">
        <f aca="false">D21*E21</f>
        <v>0.513931031237422</v>
      </c>
      <c r="G21" s="181"/>
      <c r="H21" s="161"/>
    </row>
    <row r="22" customFormat="false" ht="15.75" hidden="false" customHeight="false" outlineLevel="0" collapsed="false">
      <c r="A22" s="180"/>
      <c r="B22" s="84" t="s">
        <v>275</v>
      </c>
      <c r="C22" s="88" t="s">
        <v>286</v>
      </c>
      <c r="D22" s="183" t="n">
        <f aca="false">1/'INSERÇÃO-DE-DADOS_PRODUTIVIDADE'!O14</f>
        <v>0.000555555555555556</v>
      </c>
      <c r="E22" s="184" t="n">
        <f aca="false">'SERVENTE NAV'!F99</f>
        <v>3083.58618742453</v>
      </c>
      <c r="F22" s="184" t="n">
        <f aca="false">D22*E22</f>
        <v>1.71310343745807</v>
      </c>
      <c r="G22" s="181"/>
      <c r="H22" s="161"/>
    </row>
    <row r="23" customFormat="false" ht="3.75" hidden="false" customHeight="true" outlineLevel="0" collapsed="false">
      <c r="B23" s="182"/>
      <c r="C23" s="188"/>
      <c r="D23" s="189"/>
      <c r="E23" s="189"/>
      <c r="F23" s="189"/>
      <c r="G23" s="193"/>
      <c r="H23" s="181"/>
      <c r="I23" s="181"/>
    </row>
    <row r="24" s="191" customFormat="true" ht="12.75" hidden="false" customHeight="true" outlineLevel="0" collapsed="false">
      <c r="B24" s="179" t="s">
        <v>287</v>
      </c>
      <c r="C24" s="179"/>
      <c r="D24" s="179"/>
      <c r="E24" s="179"/>
      <c r="F24" s="179"/>
      <c r="G24" s="179"/>
      <c r="H24" s="179"/>
      <c r="I24" s="179"/>
    </row>
    <row r="25" s="191" customFormat="true" ht="15.75" hidden="false" customHeight="true" outlineLevel="0" collapsed="false">
      <c r="B25" s="179"/>
      <c r="C25" s="179"/>
      <c r="D25" s="179"/>
      <c r="E25" s="179"/>
      <c r="F25" s="179"/>
      <c r="G25" s="179"/>
      <c r="H25" s="179"/>
      <c r="I25" s="179"/>
    </row>
    <row r="26" customFormat="false" ht="12.8" hidden="false" customHeight="true" outlineLevel="0" collapsed="false">
      <c r="A26" s="180"/>
      <c r="B26" s="19" t="s">
        <v>268</v>
      </c>
      <c r="C26" s="47" t="s">
        <v>269</v>
      </c>
      <c r="D26" s="47" t="s">
        <v>270</v>
      </c>
      <c r="E26" s="47" t="s">
        <v>288</v>
      </c>
      <c r="F26" s="47" t="s">
        <v>289</v>
      </c>
      <c r="G26" s="47" t="s">
        <v>290</v>
      </c>
      <c r="H26" s="47" t="s">
        <v>291</v>
      </c>
      <c r="I26" s="47" t="s">
        <v>292</v>
      </c>
    </row>
    <row r="27" customFormat="false" ht="12.8" hidden="false" customHeight="false" outlineLevel="0" collapsed="false">
      <c r="A27" s="180"/>
      <c r="B27" s="19"/>
      <c r="C27" s="47"/>
      <c r="D27" s="47"/>
      <c r="E27" s="47"/>
      <c r="F27" s="47"/>
      <c r="G27" s="47"/>
      <c r="H27" s="47"/>
      <c r="I27" s="47"/>
    </row>
    <row r="28" customFormat="false" ht="36" hidden="false" customHeight="true" outlineLevel="0" collapsed="false">
      <c r="A28" s="180"/>
      <c r="B28" s="19"/>
      <c r="C28" s="47"/>
      <c r="D28" s="47"/>
      <c r="E28" s="47"/>
      <c r="F28" s="47"/>
      <c r="G28" s="47"/>
      <c r="H28" s="47"/>
      <c r="I28" s="47"/>
    </row>
    <row r="29" customFormat="false" ht="15.75" hidden="false" customHeight="false" outlineLevel="0" collapsed="false">
      <c r="A29" s="180"/>
      <c r="B29" s="84" t="s">
        <v>275</v>
      </c>
      <c r="C29" s="88" t="s">
        <v>293</v>
      </c>
      <c r="D29" s="183" t="n">
        <f aca="false">1/'INSERÇÃO-DE-DADOS_PRODUTIVIDADE'!O15</f>
        <v>0.00333333333333333</v>
      </c>
      <c r="E29" s="194" t="n">
        <f aca="false">'INSERÇÃO-DE-DADOS_PRODUTIVIDADE'!P15</f>
        <v>16</v>
      </c>
      <c r="F29" s="195" t="n">
        <f aca="false">1/((DIAS_NO_MES/DIAS_NA_SEMANA)*CARGA_HORARIA_SEMANAL)</f>
        <v>0.0053030303030303</v>
      </c>
      <c r="G29" s="195" t="n">
        <f aca="false">D29*E29*F29</f>
        <v>0.000282828282828283</v>
      </c>
      <c r="H29" s="184" t="n">
        <f aca="false">'SERVENTE NAV'!F99</f>
        <v>3083.58618742453</v>
      </c>
      <c r="I29" s="184" t="n">
        <f aca="false">G29*H29</f>
        <v>0.872125386342291</v>
      </c>
    </row>
    <row r="30" customFormat="false" ht="15.75" hidden="false" customHeight="false" outlineLevel="0" collapsed="false">
      <c r="A30" s="180"/>
      <c r="B30" s="84"/>
      <c r="C30" s="88" t="s">
        <v>294</v>
      </c>
      <c r="D30" s="183" t="n">
        <f aca="false">1/'INSERÇÃO-DE-DADOS_PRODUTIVIDADE'!O16</f>
        <v>0.00333333333333333</v>
      </c>
      <c r="E30" s="194" t="n">
        <f aca="false">'INSERÇÃO-DE-DADOS_PRODUTIVIDADE'!P16</f>
        <v>16</v>
      </c>
      <c r="F30" s="195" t="n">
        <f aca="false">1/((DIAS_NO_MES/DIAS_NA_SEMANA)*CARGA_HORARIA_SEMANAL)</f>
        <v>0.0053030303030303</v>
      </c>
      <c r="G30" s="195" t="n">
        <f aca="false">D30*E30*F30</f>
        <v>0.000282828282828283</v>
      </c>
      <c r="H30" s="184" t="n">
        <f aca="false">'SERVENTE NAV'!F99</f>
        <v>3083.58618742453</v>
      </c>
      <c r="I30" s="184" t="n">
        <f aca="false">G30*H30</f>
        <v>0.872125386342291</v>
      </c>
    </row>
    <row r="31" customFormat="false" ht="10.25" hidden="false" customHeight="true" outlineLevel="0" collapsed="false">
      <c r="A31" s="180"/>
      <c r="B31" s="182"/>
      <c r="C31" s="188"/>
      <c r="D31" s="189"/>
      <c r="E31" s="189"/>
      <c r="F31" s="189"/>
      <c r="G31" s="189"/>
      <c r="H31" s="189"/>
      <c r="I31" s="189"/>
    </row>
    <row r="32" customFormat="false" ht="9" hidden="false" customHeight="true" outlineLevel="0" collapsed="false">
      <c r="B32" s="182"/>
      <c r="C32" s="188"/>
      <c r="D32" s="189"/>
      <c r="E32" s="189"/>
      <c r="F32" s="189"/>
      <c r="G32" s="193"/>
      <c r="H32" s="161"/>
    </row>
    <row r="33" s="191" customFormat="true" ht="13.5" hidden="false" customHeight="true" outlineLevel="0" collapsed="false">
      <c r="B33" s="199" t="s">
        <v>297</v>
      </c>
      <c r="C33" s="199"/>
      <c r="D33" s="199"/>
      <c r="E33" s="199"/>
      <c r="F33" s="199"/>
      <c r="G33" s="166"/>
      <c r="H33" s="166"/>
    </row>
    <row r="34" s="166" customFormat="true" ht="13.5" hidden="false" customHeight="true" outlineLevel="0" collapsed="false">
      <c r="B34" s="202"/>
      <c r="C34" s="202"/>
      <c r="D34" s="202"/>
      <c r="E34" s="202"/>
      <c r="F34" s="202"/>
    </row>
    <row r="35" s="166" customFormat="true" ht="27" hidden="false" customHeight="true" outlineLevel="0" collapsed="false">
      <c r="B35" s="47" t="s">
        <v>269</v>
      </c>
      <c r="C35" s="47"/>
      <c r="D35" s="47" t="s">
        <v>298</v>
      </c>
      <c r="E35" s="47" t="s">
        <v>299</v>
      </c>
      <c r="F35" s="47" t="s">
        <v>300</v>
      </c>
    </row>
    <row r="36" s="166" customFormat="true" ht="27" hidden="false" customHeight="true" outlineLevel="0" collapsed="false">
      <c r="B36" s="47"/>
      <c r="C36" s="47"/>
      <c r="D36" s="47"/>
      <c r="E36" s="47"/>
      <c r="F36" s="47"/>
    </row>
    <row r="37" s="166" customFormat="true" ht="45.6" hidden="false" customHeight="true" outlineLevel="0" collapsed="false">
      <c r="B37" s="47"/>
      <c r="C37" s="47"/>
      <c r="D37" s="47" t="s">
        <v>135</v>
      </c>
      <c r="E37" s="47" t="s">
        <v>310</v>
      </c>
      <c r="F37" s="47" t="s">
        <v>302</v>
      </c>
    </row>
    <row r="38" s="166" customFormat="true" ht="19.3" hidden="false" customHeight="true" outlineLevel="0" collapsed="false">
      <c r="B38" s="84" t="s">
        <v>303</v>
      </c>
      <c r="C38" s="88" t="s">
        <v>274</v>
      </c>
      <c r="D38" s="205" t="n">
        <f aca="false">'INSERÇÃO-DE-DADOS_PRODUTIVIDADE'!I9</f>
        <v>755.64</v>
      </c>
      <c r="E38" s="206" t="n">
        <f aca="false">F12</f>
        <v>3.85448273428066</v>
      </c>
      <c r="F38" s="207" t="n">
        <f aca="false">D38*E38</f>
        <v>2912.60133333184</v>
      </c>
    </row>
    <row r="39" s="166" customFormat="true" ht="19.3" hidden="false" customHeight="true" outlineLevel="0" collapsed="false">
      <c r="B39" s="84"/>
      <c r="C39" s="88" t="s">
        <v>277</v>
      </c>
      <c r="D39" s="205" t="n">
        <f aca="false">'INSERÇÃO-DE-DADOS_PRODUTIVIDADE'!I10</f>
        <v>12</v>
      </c>
      <c r="E39" s="206" t="n">
        <f aca="false">F13</f>
        <v>2.05572412494968</v>
      </c>
      <c r="F39" s="207" t="n">
        <f aca="false">D39*E39</f>
        <v>24.6686894993962</v>
      </c>
    </row>
    <row r="40" s="166" customFormat="true" ht="19.3" hidden="false" customHeight="true" outlineLevel="0" collapsed="false">
      <c r="B40" s="84"/>
      <c r="C40" s="88" t="s">
        <v>279</v>
      </c>
      <c r="D40" s="205" t="n">
        <f aca="false">'INSERÇÃO-DE-DADOS_PRODUTIVIDADE'!I11</f>
        <v>65.36</v>
      </c>
      <c r="E40" s="206" t="n">
        <f aca="false">F14</f>
        <v>15.4179309371226</v>
      </c>
      <c r="F40" s="207" t="n">
        <f aca="false">D40*E40</f>
        <v>1007.71596605034</v>
      </c>
    </row>
    <row r="41" s="166" customFormat="true" ht="19.3" hidden="false" customHeight="true" outlineLevel="0" collapsed="false">
      <c r="B41" s="84" t="s">
        <v>304</v>
      </c>
      <c r="C41" s="88" t="s">
        <v>282</v>
      </c>
      <c r="D41" s="205" t="n">
        <f aca="false">'INSERÇÃO-DE-DADOS_PRODUTIVIDADE'!I12</f>
        <v>118.15</v>
      </c>
      <c r="E41" s="205" t="n">
        <f aca="false">F20</f>
        <v>1.71310343745807</v>
      </c>
      <c r="F41" s="207" t="n">
        <f aca="false">D41*E41</f>
        <v>202.403171135671</v>
      </c>
    </row>
    <row r="42" s="166" customFormat="true" ht="49.15" hidden="false" customHeight="true" outlineLevel="0" collapsed="false">
      <c r="B42" s="84"/>
      <c r="C42" s="88" t="s">
        <v>284</v>
      </c>
      <c r="D42" s="205" t="n">
        <f aca="false">'INSERÇÃO-DE-DADOS_PRODUTIVIDADE'!I13</f>
        <v>492.42</v>
      </c>
      <c r="E42" s="205" t="n">
        <f aca="false">F21</f>
        <v>0.513931031237422</v>
      </c>
      <c r="F42" s="207" t="n">
        <f aca="false">D42*E42</f>
        <v>253.069918401931</v>
      </c>
    </row>
    <row r="43" s="166" customFormat="true" ht="19.3" hidden="false" customHeight="true" outlineLevel="0" collapsed="false">
      <c r="B43" s="84"/>
      <c r="C43" s="88" t="s">
        <v>286</v>
      </c>
      <c r="D43" s="205" t="n">
        <f aca="false">'INSERÇÃO-DE-DADOS_PRODUTIVIDADE'!I14</f>
        <v>29.95</v>
      </c>
      <c r="E43" s="205" t="n">
        <f aca="false">F22</f>
        <v>1.71310343745807</v>
      </c>
      <c r="F43" s="207" t="n">
        <f aca="false">D43*E43</f>
        <v>51.3074479518692</v>
      </c>
    </row>
    <row r="44" s="166" customFormat="true" ht="19.3" hidden="false" customHeight="true" outlineLevel="0" collapsed="false">
      <c r="B44" s="84" t="s">
        <v>305</v>
      </c>
      <c r="C44" s="88" t="s">
        <v>293</v>
      </c>
      <c r="D44" s="205" t="n">
        <f aca="false">'INSERÇÃO-DE-DADOS_PRODUTIVIDADE'!I15</f>
        <v>195.01</v>
      </c>
      <c r="E44" s="206" t="n">
        <f aca="false">I29</f>
        <v>0.872125386342291</v>
      </c>
      <c r="F44" s="207" t="n">
        <f aca="false">D44*E44</f>
        <v>170.07317159061</v>
      </c>
    </row>
    <row r="45" s="166" customFormat="true" ht="19.3" hidden="false" customHeight="true" outlineLevel="0" collapsed="false">
      <c r="B45" s="84"/>
      <c r="C45" s="88" t="s">
        <v>294</v>
      </c>
      <c r="D45" s="205" t="n">
        <f aca="false">'INSERÇÃO-DE-DADOS_PRODUTIVIDADE'!I16</f>
        <v>195.01</v>
      </c>
      <c r="E45" s="206" t="n">
        <f aca="false">I30</f>
        <v>0.872125386342291</v>
      </c>
      <c r="F45" s="207" t="n">
        <f aca="false">D45*E45</f>
        <v>170.07317159061</v>
      </c>
    </row>
    <row r="46" s="166" customFormat="true" ht="16.65" hidden="false" customHeight="true" outlineLevel="0" collapsed="false">
      <c r="B46" s="208" t="s">
        <v>323</v>
      </c>
      <c r="C46" s="208"/>
      <c r="D46" s="208"/>
      <c r="E46" s="208"/>
      <c r="F46" s="209" t="n">
        <f aca="false">SUM(F38:F45)</f>
        <v>4791.91286955226</v>
      </c>
    </row>
    <row r="47" customFormat="false" ht="13.8" hidden="false" customHeight="false" outlineLevel="0" collapsed="false">
      <c r="G47" s="166"/>
      <c r="H47" s="166"/>
    </row>
    <row r="48" s="191" customFormat="true" ht="13.5" hidden="false" customHeight="true" outlineLevel="0" collapsed="false">
      <c r="C48" s="210"/>
    </row>
    <row r="49" customFormat="false" ht="13.5" hidden="false" customHeight="true" outlineLevel="0" collapsed="false">
      <c r="I49" s="166"/>
    </row>
    <row r="50" customFormat="false" ht="14.25" hidden="false" customHeight="true" outlineLevel="0" collapsed="false">
      <c r="I50" s="166"/>
    </row>
    <row r="51" customFormat="false" ht="13.8" hidden="false" customHeight="false" outlineLevel="0" collapsed="false">
      <c r="I51" s="166"/>
    </row>
    <row r="52" customFormat="false" ht="13.8" hidden="false" customHeight="false" outlineLevel="0" collapsed="false">
      <c r="I52" s="166"/>
    </row>
    <row r="53" customFormat="false" ht="13.8" hidden="false" customHeight="false" outlineLevel="0" collapsed="false">
      <c r="I53" s="166"/>
    </row>
    <row r="54" customFormat="false" ht="36" hidden="false" customHeight="true" outlineLevel="0" collapsed="false">
      <c r="I54" s="166"/>
    </row>
    <row r="55" customFormat="false" ht="13.8" hidden="false" customHeight="false" outlineLevel="0" collapsed="false">
      <c r="I55" s="166"/>
    </row>
    <row r="56" customFormat="false" ht="49.5" hidden="false" customHeight="true" outlineLevel="0" collapsed="false">
      <c r="I56" s="166"/>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88"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sheetPr filterMode="false">
    <pageSetUpPr fitToPage="false"/>
  </sheetPr>
  <dimension ref="A1:AMJ28"/>
  <sheetViews>
    <sheetView showFormulas="false" showGridLines="true" showRowColHeaders="true" showZeros="true" rightToLeft="false" tabSelected="false" showOutlineSymbols="true" defaultGridColor="true" view="normal" topLeftCell="A1" colorId="64" zoomScale="113" zoomScaleNormal="113"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11" width="1.71"/>
    <col collapsed="false" customWidth="true" hidden="false" outlineLevel="0" max="2" min="2" style="211" width="8.61"/>
    <col collapsed="false" customWidth="true" hidden="false" outlineLevel="0" max="3" min="3" style="212" width="31.96"/>
    <col collapsed="false" customWidth="true" hidden="false" outlineLevel="0" max="5" min="4" style="211" width="20.86"/>
    <col collapsed="false" customWidth="true" hidden="false" outlineLevel="0" max="6" min="6" style="211" width="19.31"/>
    <col collapsed="false" customWidth="true" hidden="false" outlineLevel="0" max="7" min="7" style="211" width="18.58"/>
    <col collapsed="false" customWidth="true" hidden="false" outlineLevel="0" max="8" min="8" style="211" width="14.88"/>
    <col collapsed="false" customWidth="true" hidden="false" outlineLevel="0" max="9" min="9" style="211" width="11.64"/>
    <col collapsed="false" customWidth="true" hidden="false" outlineLevel="0" max="1020" min="10" style="211" width="9.13"/>
    <col collapsed="false" customWidth="false" hidden="false" outlineLevel="0" max="1025" min="1021" style="0" width="11.52"/>
  </cols>
  <sheetData>
    <row r="1" s="1" customFormat="true" ht="20.25" hidden="false" customHeight="true" outlineLevel="0" collapsed="false">
      <c r="B1" s="172" t="str">
        <f aca="false">RAMO</f>
        <v>RAMO: MINISTÉRIO PÚBLICO FEDERAL</v>
      </c>
      <c r="C1" s="172"/>
      <c r="D1" s="172"/>
      <c r="E1" s="172"/>
      <c r="F1" s="172"/>
      <c r="G1" s="172"/>
      <c r="H1" s="172"/>
      <c r="I1" s="172"/>
      <c r="AMG1" s="0"/>
      <c r="AMH1" s="0"/>
      <c r="AMI1" s="0"/>
      <c r="AMJ1" s="0"/>
    </row>
    <row r="2" s="1" customFormat="true" ht="17.35" hidden="false" customHeight="false" outlineLevel="0" collapsed="false">
      <c r="B2" s="115" t="str">
        <f aca="false">UG</f>
        <v>UNIDADE GESTORA (SIGLA): PRMS</v>
      </c>
      <c r="C2" s="115"/>
      <c r="D2" s="115"/>
      <c r="E2" s="115"/>
      <c r="F2" s="116" t="s">
        <v>2</v>
      </c>
      <c r="G2" s="117" t="str">
        <f aca="false">IF(DATA_DO_ORCAMENTO_ESTIMATIVO="","",DATA_DO_ORCAMENTO_ESTIMATIVO)</f>
        <v/>
      </c>
      <c r="H2" s="116"/>
      <c r="I2" s="117"/>
      <c r="AMG2" s="0"/>
      <c r="AMH2" s="0"/>
      <c r="AMI2" s="0"/>
      <c r="AMJ2" s="0"/>
    </row>
    <row r="3" s="1" customFormat="true" ht="16.5" hidden="false" customHeight="true" outlineLevel="0" collapsed="false">
      <c r="B3" s="3"/>
      <c r="C3" s="213"/>
      <c r="D3" s="3"/>
      <c r="E3" s="3"/>
      <c r="F3" s="3"/>
      <c r="G3" s="3"/>
      <c r="AMG3" s="0"/>
      <c r="AMH3" s="0"/>
      <c r="AMI3" s="0"/>
      <c r="AMJ3" s="0"/>
    </row>
    <row r="4" s="1" customFormat="true" ht="16.5" hidden="false" customHeight="true" outlineLevel="0" collapsed="false">
      <c r="B4" s="3"/>
      <c r="C4" s="213"/>
      <c r="D4" s="3"/>
      <c r="E4" s="3"/>
      <c r="F4" s="3"/>
      <c r="G4" s="3"/>
      <c r="AMG4" s="0"/>
      <c r="AMH4" s="0"/>
      <c r="AMI4" s="0"/>
      <c r="AMJ4" s="0"/>
    </row>
    <row r="5" s="1" customFormat="true" ht="32.6" hidden="false" customHeight="true" outlineLevel="0" collapsed="false">
      <c r="B5" s="214" t="s">
        <v>324</v>
      </c>
      <c r="C5" s="214"/>
      <c r="D5" s="214"/>
      <c r="E5" s="214"/>
      <c r="F5" s="214"/>
      <c r="G5" s="214"/>
      <c r="H5" s="214"/>
      <c r="I5" s="214"/>
      <c r="AMG5" s="0"/>
      <c r="AMH5" s="0"/>
      <c r="AMI5" s="0"/>
      <c r="AMJ5" s="0"/>
    </row>
    <row r="6" s="1" customFormat="true" ht="116" hidden="false" customHeight="true" outlineLevel="0" collapsed="false">
      <c r="A6" s="215"/>
      <c r="B6" s="214" t="s">
        <v>325</v>
      </c>
      <c r="C6" s="214" t="s">
        <v>326</v>
      </c>
      <c r="D6" s="214" t="s">
        <v>327</v>
      </c>
      <c r="E6" s="214" t="s">
        <v>328</v>
      </c>
      <c r="F6" s="214" t="s">
        <v>329</v>
      </c>
      <c r="G6" s="214" t="s">
        <v>330</v>
      </c>
      <c r="H6" s="214" t="s">
        <v>331</v>
      </c>
      <c r="I6" s="214" t="s">
        <v>332</v>
      </c>
      <c r="AMG6" s="0"/>
      <c r="AMH6" s="0"/>
      <c r="AMI6" s="0"/>
      <c r="AMJ6" s="0"/>
    </row>
    <row r="7" s="1" customFormat="true" ht="32.6" hidden="false" customHeight="true" outlineLevel="0" collapsed="false">
      <c r="A7" s="215"/>
      <c r="B7" s="214"/>
      <c r="C7" s="214"/>
      <c r="D7" s="214"/>
      <c r="E7" s="214" t="s">
        <v>133</v>
      </c>
      <c r="F7" s="214" t="s">
        <v>134</v>
      </c>
      <c r="G7" s="214" t="s">
        <v>135</v>
      </c>
      <c r="H7" s="214" t="s">
        <v>136</v>
      </c>
      <c r="I7" s="214" t="s">
        <v>137</v>
      </c>
      <c r="AMG7" s="0"/>
      <c r="AMH7" s="0"/>
      <c r="AMI7" s="0"/>
      <c r="AMJ7" s="0"/>
    </row>
    <row r="8" s="1" customFormat="true" ht="57.4" hidden="false" customHeight="true" outlineLevel="0" collapsed="false">
      <c r="A8" s="215"/>
      <c r="B8" s="216" t="n">
        <v>1</v>
      </c>
      <c r="C8" s="217" t="s">
        <v>333</v>
      </c>
      <c r="D8" s="216" t="s">
        <v>334</v>
      </c>
      <c r="E8" s="218" t="n">
        <v>1</v>
      </c>
      <c r="F8" s="219" t="n">
        <v>1</v>
      </c>
      <c r="G8" s="219" t="n">
        <f aca="false">E8*F8</f>
        <v>1</v>
      </c>
      <c r="H8" s="220" t="n">
        <v>75.99</v>
      </c>
      <c r="I8" s="221" t="n">
        <f aca="false">G8*H8</f>
        <v>75.99</v>
      </c>
      <c r="AMG8" s="0"/>
      <c r="AMH8" s="0"/>
      <c r="AMI8" s="0"/>
      <c r="AMJ8" s="0"/>
    </row>
    <row r="9" s="1" customFormat="true" ht="57.4" hidden="false" customHeight="true" outlineLevel="0" collapsed="false">
      <c r="A9" s="215"/>
      <c r="B9" s="216" t="n">
        <v>2</v>
      </c>
      <c r="C9" s="217" t="s">
        <v>335</v>
      </c>
      <c r="D9" s="216" t="s">
        <v>334</v>
      </c>
      <c r="E9" s="218" t="n">
        <v>2</v>
      </c>
      <c r="F9" s="219" t="n">
        <v>2</v>
      </c>
      <c r="G9" s="219" t="n">
        <f aca="false">E9*F9</f>
        <v>4</v>
      </c>
      <c r="H9" s="220" t="n">
        <v>30</v>
      </c>
      <c r="I9" s="221" t="n">
        <f aca="false">G9*H9</f>
        <v>120</v>
      </c>
      <c r="AMG9" s="0"/>
      <c r="AMH9" s="0"/>
      <c r="AMI9" s="0"/>
      <c r="AMJ9" s="0"/>
    </row>
    <row r="10" s="1" customFormat="true" ht="40.75" hidden="false" customHeight="true" outlineLevel="0" collapsed="false">
      <c r="A10" s="215"/>
      <c r="B10" s="216" t="n">
        <v>3</v>
      </c>
      <c r="C10" s="217" t="s">
        <v>336</v>
      </c>
      <c r="D10" s="216" t="s">
        <v>334</v>
      </c>
      <c r="E10" s="218" t="n">
        <v>2</v>
      </c>
      <c r="F10" s="219" t="n">
        <v>2</v>
      </c>
      <c r="G10" s="219" t="n">
        <f aca="false">E10*F10</f>
        <v>4</v>
      </c>
      <c r="H10" s="220" t="n">
        <v>15</v>
      </c>
      <c r="I10" s="221" t="n">
        <f aca="false">G10*H10</f>
        <v>60</v>
      </c>
      <c r="AMG10" s="0"/>
      <c r="AMH10" s="0"/>
      <c r="AMI10" s="0"/>
      <c r="AMJ10" s="0"/>
    </row>
    <row r="11" s="1" customFormat="true" ht="57.4" hidden="false" customHeight="true" outlineLevel="0" collapsed="false">
      <c r="A11" s="215"/>
      <c r="B11" s="216" t="n">
        <v>4</v>
      </c>
      <c r="C11" s="217" t="s">
        <v>337</v>
      </c>
      <c r="D11" s="216" t="s">
        <v>334</v>
      </c>
      <c r="E11" s="218" t="n">
        <v>1</v>
      </c>
      <c r="F11" s="219" t="n">
        <v>2</v>
      </c>
      <c r="G11" s="219" t="n">
        <f aca="false">E11*F11</f>
        <v>2</v>
      </c>
      <c r="H11" s="220" t="n">
        <v>48.9</v>
      </c>
      <c r="I11" s="221" t="n">
        <f aca="false">G11*H11</f>
        <v>97.8</v>
      </c>
      <c r="AMG11" s="0"/>
      <c r="AMH11" s="0"/>
      <c r="AMI11" s="0"/>
      <c r="AMJ11" s="0"/>
    </row>
    <row r="12" s="1" customFormat="true" ht="40.75" hidden="false" customHeight="true" outlineLevel="0" collapsed="false">
      <c r="A12" s="215"/>
      <c r="B12" s="216" t="n">
        <v>6</v>
      </c>
      <c r="C12" s="217" t="s">
        <v>338</v>
      </c>
      <c r="D12" s="216" t="s">
        <v>334</v>
      </c>
      <c r="E12" s="218" t="n">
        <v>1</v>
      </c>
      <c r="F12" s="219" t="n">
        <v>2</v>
      </c>
      <c r="G12" s="219" t="n">
        <f aca="false">E12*F12</f>
        <v>2</v>
      </c>
      <c r="H12" s="220" t="n">
        <v>22.45</v>
      </c>
      <c r="I12" s="221" t="n">
        <f aca="false">G12*H12</f>
        <v>44.9</v>
      </c>
      <c r="AMG12" s="0"/>
      <c r="AMH12" s="0"/>
      <c r="AMI12" s="0"/>
      <c r="AMJ12" s="0"/>
    </row>
    <row r="13" s="1" customFormat="true" ht="19.25" hidden="false" customHeight="true" outlineLevel="0" collapsed="false">
      <c r="B13" s="222" t="s">
        <v>339</v>
      </c>
      <c r="C13" s="222"/>
      <c r="D13" s="222"/>
      <c r="E13" s="222"/>
      <c r="F13" s="222"/>
      <c r="G13" s="222"/>
      <c r="H13" s="222"/>
      <c r="I13" s="221" t="n">
        <f aca="false">SUM(I8:I12)</f>
        <v>398.69</v>
      </c>
      <c r="AMG13" s="0"/>
      <c r="AMH13" s="0"/>
      <c r="AMI13" s="0"/>
      <c r="AMJ13" s="0"/>
    </row>
    <row r="14" s="1" customFormat="true" ht="19.25" hidden="false" customHeight="true" outlineLevel="0" collapsed="false">
      <c r="B14" s="222" t="s">
        <v>340</v>
      </c>
      <c r="C14" s="222"/>
      <c r="D14" s="222"/>
      <c r="E14" s="222"/>
      <c r="F14" s="222"/>
      <c r="G14" s="222"/>
      <c r="H14" s="222"/>
      <c r="I14" s="221" t="n">
        <f aca="false">I13/12</f>
        <v>33.2241666666667</v>
      </c>
      <c r="AMG14" s="0"/>
      <c r="AMH14" s="0"/>
      <c r="AMI14" s="0"/>
      <c r="AMJ14" s="0"/>
    </row>
    <row r="15" s="1" customFormat="true" ht="16.5" hidden="false" customHeight="true" outlineLevel="0" collapsed="false">
      <c r="B15" s="223"/>
      <c r="C15" s="223"/>
      <c r="D15" s="223"/>
      <c r="E15" s="223"/>
      <c r="F15" s="223"/>
      <c r="G15" s="223"/>
      <c r="H15" s="224"/>
      <c r="I15" s="224"/>
      <c r="AMG15" s="0"/>
      <c r="AMH15" s="0"/>
      <c r="AMI15" s="0"/>
      <c r="AMJ15" s="0"/>
    </row>
    <row r="16" s="1" customFormat="true" ht="16.5" hidden="false" customHeight="true" outlineLevel="0" collapsed="false">
      <c r="B16" s="223"/>
      <c r="C16" s="223"/>
      <c r="D16" s="223"/>
      <c r="E16" s="223"/>
      <c r="F16" s="223"/>
      <c r="G16" s="223"/>
      <c r="H16" s="224"/>
      <c r="I16" s="224"/>
      <c r="AMG16" s="0"/>
      <c r="AMH16" s="0"/>
      <c r="AMI16" s="0"/>
      <c r="AMJ16" s="0"/>
    </row>
    <row r="17" s="1" customFormat="true" ht="16.5" hidden="false" customHeight="true" outlineLevel="0" collapsed="false">
      <c r="B17" s="223"/>
      <c r="C17" s="223"/>
      <c r="D17" s="223"/>
      <c r="E17" s="223"/>
      <c r="F17" s="223"/>
      <c r="G17" s="223"/>
      <c r="H17" s="224"/>
      <c r="I17" s="224"/>
      <c r="AMG17" s="0"/>
      <c r="AMH17" s="0"/>
      <c r="AMI17" s="0"/>
      <c r="AMJ17" s="0"/>
    </row>
    <row r="18" s="1" customFormat="true" ht="16.5" hidden="false" customHeight="true" outlineLevel="0" collapsed="false">
      <c r="B18" s="223"/>
      <c r="C18" s="223"/>
      <c r="D18" s="223"/>
      <c r="E18" s="223"/>
      <c r="F18" s="223"/>
      <c r="G18" s="223"/>
      <c r="H18" s="224"/>
      <c r="I18" s="224"/>
      <c r="AMG18" s="0"/>
      <c r="AMH18" s="0"/>
      <c r="AMI18" s="0"/>
      <c r="AMJ18" s="0"/>
    </row>
    <row r="19" s="1" customFormat="true" ht="16.5" hidden="false" customHeight="true" outlineLevel="0" collapsed="false">
      <c r="B19" s="214" t="s">
        <v>157</v>
      </c>
      <c r="C19" s="214"/>
      <c r="D19" s="214"/>
      <c r="E19" s="214"/>
      <c r="F19" s="214"/>
      <c r="G19" s="214"/>
      <c r="H19" s="214"/>
      <c r="I19" s="214"/>
      <c r="AMG19" s="0"/>
      <c r="AMH19" s="0"/>
      <c r="AMI19" s="0"/>
      <c r="AMJ19" s="0"/>
    </row>
    <row r="20" s="1" customFormat="true" ht="16.5" hidden="false" customHeight="true" outlineLevel="0" collapsed="false">
      <c r="B20" s="93" t="s">
        <v>341</v>
      </c>
      <c r="C20" s="93"/>
      <c r="D20" s="93"/>
      <c r="E20" s="93"/>
      <c r="F20" s="93"/>
      <c r="G20" s="93"/>
      <c r="H20" s="93"/>
      <c r="I20" s="93"/>
      <c r="AMG20" s="0"/>
      <c r="AMH20" s="0"/>
      <c r="AMI20" s="0"/>
      <c r="AMJ20" s="0"/>
    </row>
    <row r="21" s="1" customFormat="true" ht="16.5" hidden="false" customHeight="true" outlineLevel="0" collapsed="false">
      <c r="B21" s="94" t="s">
        <v>342</v>
      </c>
      <c r="C21" s="94"/>
      <c r="D21" s="94"/>
      <c r="E21" s="94"/>
      <c r="F21" s="94"/>
      <c r="G21" s="94"/>
      <c r="H21" s="94"/>
      <c r="I21" s="94"/>
      <c r="AMG21" s="0"/>
      <c r="AMH21" s="0"/>
      <c r="AMI21" s="0"/>
      <c r="AMJ21" s="0"/>
    </row>
    <row r="22" s="1" customFormat="true" ht="16.5" hidden="false" customHeight="true" outlineLevel="0" collapsed="false">
      <c r="B22" s="94"/>
      <c r="C22" s="94"/>
      <c r="D22" s="94"/>
      <c r="E22" s="94"/>
      <c r="F22" s="94"/>
      <c r="G22" s="94"/>
      <c r="H22" s="94"/>
      <c r="I22" s="94"/>
      <c r="AMG22" s="0"/>
      <c r="AMH22" s="0"/>
      <c r="AMI22" s="0"/>
      <c r="AMJ22" s="0"/>
    </row>
    <row r="23" s="1" customFormat="true" ht="16.5" hidden="false" customHeight="true" outlineLevel="0" collapsed="false">
      <c r="B23" s="95" t="s">
        <v>343</v>
      </c>
      <c r="C23" s="95"/>
      <c r="D23" s="95"/>
      <c r="E23" s="95"/>
      <c r="F23" s="95"/>
      <c r="G23" s="95"/>
      <c r="H23" s="95"/>
      <c r="I23" s="95"/>
      <c r="AMG23" s="0"/>
      <c r="AMH23" s="0"/>
      <c r="AMI23" s="0"/>
      <c r="AMJ23" s="0"/>
    </row>
    <row r="24" s="1" customFormat="true" ht="16.5" hidden="false" customHeight="true" outlineLevel="0" collapsed="false">
      <c r="B24" s="95"/>
      <c r="C24" s="95"/>
      <c r="D24" s="95"/>
      <c r="E24" s="95"/>
      <c r="F24" s="95"/>
      <c r="G24" s="95"/>
      <c r="H24" s="95"/>
      <c r="I24" s="95"/>
      <c r="AMG24" s="0"/>
      <c r="AMH24" s="0"/>
      <c r="AMI24" s="0"/>
      <c r="AMJ24" s="0"/>
    </row>
    <row r="25" s="1" customFormat="true" ht="16.5" hidden="false" customHeight="true" outlineLevel="0" collapsed="false">
      <c r="B25" s="94" t="s">
        <v>344</v>
      </c>
      <c r="C25" s="94"/>
      <c r="D25" s="94"/>
      <c r="E25" s="94"/>
      <c r="F25" s="94"/>
      <c r="G25" s="94"/>
      <c r="H25" s="94"/>
      <c r="I25" s="94"/>
      <c r="AMG25" s="0"/>
      <c r="AMH25" s="0"/>
      <c r="AMI25" s="0"/>
      <c r="AMJ25" s="0"/>
    </row>
    <row r="26" s="1" customFormat="true" ht="16.5" hidden="false" customHeight="true" outlineLevel="0" collapsed="false">
      <c r="B26" s="94"/>
      <c r="C26" s="94"/>
      <c r="D26" s="94"/>
      <c r="E26" s="94"/>
      <c r="F26" s="94"/>
      <c r="G26" s="94"/>
      <c r="H26" s="94"/>
      <c r="I26" s="94"/>
      <c r="AMG26" s="0"/>
      <c r="AMH26" s="0"/>
      <c r="AMI26" s="0"/>
      <c r="AMJ26" s="0"/>
    </row>
    <row r="27" s="1" customFormat="true" ht="16.5" hidden="false" customHeight="true" outlineLevel="0" collapsed="false">
      <c r="B27" s="3"/>
      <c r="C27" s="213"/>
      <c r="D27" s="3"/>
      <c r="E27" s="3"/>
      <c r="F27" s="3"/>
      <c r="G27" s="3"/>
      <c r="AMG27" s="0"/>
      <c r="AMH27" s="0"/>
      <c r="AMI27" s="0"/>
      <c r="AMJ27" s="0"/>
    </row>
    <row r="28" customFormat="false" ht="12.8" hidden="false" customHeight="false" outlineLevel="0" collapsed="false">
      <c r="G28" s="225"/>
    </row>
  </sheetData>
  <mergeCells count="14">
    <mergeCell ref="B1:I1"/>
    <mergeCell ref="B2:E2"/>
    <mergeCell ref="B5:I5"/>
    <mergeCell ref="B6:B7"/>
    <mergeCell ref="C6:C7"/>
    <mergeCell ref="D6:D7"/>
    <mergeCell ref="H6:H7"/>
    <mergeCell ref="B13:H13"/>
    <mergeCell ref="B14:H14"/>
    <mergeCell ref="B19:I19"/>
    <mergeCell ref="B20:I20"/>
    <mergeCell ref="B21:I22"/>
    <mergeCell ref="B23:I24"/>
    <mergeCell ref="B25:I26"/>
  </mergeCells>
  <printOptions headings="false" gridLines="false" gridLinesSet="true" horizontalCentered="false" verticalCentered="false"/>
  <pageMargins left="0.170138888888889" right="0.170138888888889" top="0.329861111111111" bottom="0.170138888888889" header="0.511805555555555" footer="0.511805555555555"/>
  <pageSetup paperSize="9" scale="5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sheetPr filterMode="false">
    <pageSetUpPr fitToPage="false"/>
  </sheetPr>
  <dimension ref="A1:M109"/>
  <sheetViews>
    <sheetView showFormulas="false" showGridLines="true" showRowColHeaders="true" showZeros="true" rightToLeft="false" tabSelected="false" showOutlineSymbols="true" defaultGridColor="true" view="normal" topLeftCell="A73" colorId="64" zoomScale="113" zoomScaleNormal="113" zoomScalePageLayoutView="100" workbookViewId="0">
      <selection pane="topLeft" activeCell="M95" activeCellId="0" sqref="M95"/>
    </sheetView>
  </sheetViews>
  <sheetFormatPr defaultRowHeight="12.8" zeroHeight="false" outlineLevelRow="0" outlineLevelCol="0"/>
  <cols>
    <col collapsed="false" customWidth="true" hidden="false" outlineLevel="0" max="1" min="1" style="211" width="1.71"/>
    <col collapsed="false" customWidth="true" hidden="false" outlineLevel="0" max="2" min="2" style="211" width="8.61"/>
    <col collapsed="false" customWidth="true" hidden="false" outlineLevel="0" max="3" min="3" style="212" width="31.96"/>
    <col collapsed="false" customWidth="true" hidden="false" outlineLevel="0" max="5" min="4" style="211" width="20.86"/>
    <col collapsed="false" customWidth="true" hidden="false" outlineLevel="0" max="6" min="6" style="211" width="19.31"/>
    <col collapsed="false" customWidth="true" hidden="false" outlineLevel="0" max="7" min="7" style="211" width="18.58"/>
    <col collapsed="false" customWidth="true" hidden="false" outlineLevel="0" max="8" min="8" style="211" width="17.71"/>
    <col collapsed="false" customWidth="true" hidden="false" outlineLevel="0" max="9" min="9" style="211" width="21.71"/>
    <col collapsed="false" customWidth="true" hidden="false" outlineLevel="0" max="10" min="10" style="211" width="14.47"/>
    <col collapsed="false" customWidth="true" hidden="false" outlineLevel="0" max="11" min="11" style="211" width="15.14"/>
    <col collapsed="false" customWidth="true" hidden="false" outlineLevel="0" max="12" min="12" style="211" width="11.76"/>
    <col collapsed="false" customWidth="true" hidden="false" outlineLevel="0" max="13" min="13" style="211" width="14.54"/>
    <col collapsed="false" customWidth="true" hidden="false" outlineLevel="0" max="1025" min="14" style="211" width="9.13"/>
  </cols>
  <sheetData>
    <row r="1" s="1" customFormat="true" ht="20.25" hidden="false" customHeight="true" outlineLevel="0" collapsed="false">
      <c r="B1" s="172" t="str">
        <f aca="false">RAMO</f>
        <v>RAMO: MINISTÉRIO PÚBLICO FEDERAL</v>
      </c>
      <c r="C1" s="172"/>
      <c r="D1" s="172"/>
      <c r="E1" s="172"/>
      <c r="F1" s="172"/>
      <c r="G1" s="172"/>
      <c r="H1" s="172"/>
      <c r="I1" s="172"/>
      <c r="J1" s="172"/>
      <c r="K1" s="172"/>
      <c r="L1" s="172"/>
      <c r="M1" s="172"/>
    </row>
    <row r="2" s="1" customFormat="true" ht="17.35" hidden="false" customHeight="false" outlineLevel="0" collapsed="false">
      <c r="B2" s="115" t="str">
        <f aca="false">UG</f>
        <v>UNIDADE GESTORA (SIGLA): PRMS</v>
      </c>
      <c r="C2" s="115"/>
      <c r="D2" s="115"/>
      <c r="E2" s="115"/>
      <c r="F2" s="116" t="s">
        <v>2</v>
      </c>
      <c r="G2" s="117" t="str">
        <f aca="false">IF(DATA_DO_ORCAMENTO_ESTIMATIVO="","",DATA_DO_ORCAMENTO_ESTIMATIVO)</f>
        <v/>
      </c>
      <c r="H2" s="115"/>
      <c r="I2" s="115"/>
      <c r="J2" s="115"/>
      <c r="K2" s="115"/>
      <c r="L2" s="116"/>
      <c r="M2" s="117"/>
    </row>
    <row r="3" s="1" customFormat="true" ht="16.5" hidden="false" customHeight="true" outlineLevel="0" collapsed="false">
      <c r="B3" s="3"/>
      <c r="C3" s="213"/>
      <c r="D3" s="3"/>
      <c r="E3" s="3"/>
      <c r="F3" s="3"/>
      <c r="G3" s="3"/>
    </row>
    <row r="4" s="1" customFormat="true" ht="16.5" hidden="false" customHeight="true" outlineLevel="0" collapsed="false">
      <c r="B4" s="3"/>
      <c r="C4" s="213"/>
      <c r="D4" s="3"/>
      <c r="E4" s="3"/>
      <c r="F4" s="3"/>
      <c r="G4" s="3"/>
    </row>
    <row r="5" s="1" customFormat="true" ht="17" hidden="false" customHeight="true" outlineLevel="0" collapsed="false">
      <c r="B5" s="214" t="s">
        <v>345</v>
      </c>
      <c r="C5" s="214"/>
      <c r="D5" s="214"/>
      <c r="E5" s="214"/>
      <c r="F5" s="214"/>
      <c r="G5" s="214"/>
      <c r="H5" s="214"/>
      <c r="I5" s="214"/>
      <c r="J5" s="214"/>
      <c r="K5" s="214"/>
      <c r="L5" s="214"/>
      <c r="M5" s="214"/>
    </row>
    <row r="6" s="1" customFormat="true" ht="31.35" hidden="false" customHeight="true" outlineLevel="0" collapsed="false">
      <c r="A6" s="215"/>
      <c r="B6" s="214" t="s">
        <v>325</v>
      </c>
      <c r="C6" s="214" t="s">
        <v>124</v>
      </c>
      <c r="D6" s="214" t="s">
        <v>327</v>
      </c>
      <c r="E6" s="214" t="s">
        <v>346</v>
      </c>
      <c r="F6" s="214"/>
      <c r="G6" s="214"/>
      <c r="H6" s="214"/>
      <c r="I6" s="214"/>
      <c r="J6" s="214"/>
      <c r="K6" s="214" t="s">
        <v>347</v>
      </c>
      <c r="L6" s="214" t="s">
        <v>348</v>
      </c>
      <c r="M6" s="214" t="s">
        <v>349</v>
      </c>
    </row>
    <row r="7" s="1" customFormat="true" ht="32.8" hidden="false" customHeight="false" outlineLevel="0" collapsed="false">
      <c r="A7" s="215"/>
      <c r="B7" s="214"/>
      <c r="C7" s="214"/>
      <c r="D7" s="214"/>
      <c r="E7" s="214" t="s">
        <v>350</v>
      </c>
      <c r="F7" s="214" t="s">
        <v>102</v>
      </c>
      <c r="G7" s="214" t="s">
        <v>103</v>
      </c>
      <c r="H7" s="214" t="s">
        <v>104</v>
      </c>
      <c r="I7" s="214" t="s">
        <v>105</v>
      </c>
      <c r="J7" s="214" t="s">
        <v>106</v>
      </c>
      <c r="K7" s="214"/>
      <c r="L7" s="214"/>
      <c r="M7" s="214"/>
    </row>
    <row r="8" s="1" customFormat="true" ht="17.15" hidden="false" customHeight="false" outlineLevel="0" collapsed="false">
      <c r="A8" s="215"/>
      <c r="B8" s="214"/>
      <c r="C8" s="214"/>
      <c r="D8" s="214"/>
      <c r="E8" s="214" t="s">
        <v>133</v>
      </c>
      <c r="F8" s="214" t="s">
        <v>134</v>
      </c>
      <c r="G8" s="214" t="s">
        <v>135</v>
      </c>
      <c r="H8" s="214" t="s">
        <v>136</v>
      </c>
      <c r="I8" s="214" t="s">
        <v>137</v>
      </c>
      <c r="J8" s="214" t="s">
        <v>138</v>
      </c>
      <c r="K8" s="214" t="s">
        <v>139</v>
      </c>
      <c r="L8" s="214" t="s">
        <v>140</v>
      </c>
      <c r="M8" s="214" t="s">
        <v>141</v>
      </c>
    </row>
    <row r="9" s="1" customFormat="true" ht="19.25" hidden="false" customHeight="true" outlineLevel="0" collapsed="false">
      <c r="A9" s="215"/>
      <c r="B9" s="216" t="n">
        <v>1</v>
      </c>
      <c r="C9" s="217" t="s">
        <v>351</v>
      </c>
      <c r="D9" s="216" t="s">
        <v>352</v>
      </c>
      <c r="E9" s="218" t="n">
        <v>5</v>
      </c>
      <c r="F9" s="219" t="n">
        <v>1</v>
      </c>
      <c r="G9" s="219" t="n">
        <v>1</v>
      </c>
      <c r="H9" s="219" t="n">
        <v>2</v>
      </c>
      <c r="I9" s="219" t="n">
        <v>1</v>
      </c>
      <c r="J9" s="219" t="n">
        <v>3</v>
      </c>
      <c r="K9" s="226" t="n">
        <f aca="false">SUM(E9:J9)</f>
        <v>13</v>
      </c>
      <c r="L9" s="227" t="n">
        <v>7</v>
      </c>
      <c r="M9" s="221" t="n">
        <f aca="false">K9*L9</f>
        <v>91</v>
      </c>
    </row>
    <row r="10" s="1" customFormat="true" ht="19.25" hidden="false" customHeight="true" outlineLevel="0" collapsed="false">
      <c r="A10" s="215"/>
      <c r="B10" s="216" t="n">
        <v>2</v>
      </c>
      <c r="C10" s="217" t="s">
        <v>353</v>
      </c>
      <c r="D10" s="216" t="s">
        <v>354</v>
      </c>
      <c r="E10" s="218" t="n">
        <v>20</v>
      </c>
      <c r="F10" s="219" t="n">
        <v>6</v>
      </c>
      <c r="G10" s="219" t="n">
        <v>4</v>
      </c>
      <c r="H10" s="219" t="n">
        <v>4</v>
      </c>
      <c r="I10" s="219" t="n">
        <v>4</v>
      </c>
      <c r="J10" s="219" t="n">
        <v>6</v>
      </c>
      <c r="K10" s="226" t="n">
        <f aca="false">SUM(E10:J10)</f>
        <v>44</v>
      </c>
      <c r="L10" s="227" t="n">
        <v>3.8</v>
      </c>
      <c r="M10" s="221" t="n">
        <f aca="false">K10*L10</f>
        <v>167.2</v>
      </c>
    </row>
    <row r="11" s="1" customFormat="true" ht="19.25" hidden="false" customHeight="true" outlineLevel="0" collapsed="false">
      <c r="A11" s="215"/>
      <c r="B11" s="216" t="n">
        <v>3</v>
      </c>
      <c r="C11" s="217" t="s">
        <v>355</v>
      </c>
      <c r="D11" s="216" t="s">
        <v>356</v>
      </c>
      <c r="E11" s="218" t="n">
        <v>30</v>
      </c>
      <c r="F11" s="219" t="n">
        <v>2</v>
      </c>
      <c r="G11" s="219" t="n">
        <v>2</v>
      </c>
      <c r="H11" s="219" t="n">
        <v>1</v>
      </c>
      <c r="I11" s="219" t="n">
        <v>1</v>
      </c>
      <c r="J11" s="219" t="n">
        <v>2</v>
      </c>
      <c r="K11" s="226" t="n">
        <f aca="false">SUM(E11:J11)</f>
        <v>38</v>
      </c>
      <c r="L11" s="227" t="n">
        <v>3.6</v>
      </c>
      <c r="M11" s="221" t="n">
        <f aca="false">K11*L11</f>
        <v>136.8</v>
      </c>
    </row>
    <row r="12" s="1" customFormat="true" ht="34.15" hidden="false" customHeight="true" outlineLevel="0" collapsed="false">
      <c r="A12" s="215"/>
      <c r="B12" s="216" t="n">
        <v>4</v>
      </c>
      <c r="C12" s="217" t="s">
        <v>357</v>
      </c>
      <c r="D12" s="216" t="s">
        <v>356</v>
      </c>
      <c r="E12" s="218" t="n">
        <v>30</v>
      </c>
      <c r="F12" s="219" t="n">
        <v>5</v>
      </c>
      <c r="G12" s="219" t="n">
        <v>3</v>
      </c>
      <c r="H12" s="219" t="n">
        <v>4</v>
      </c>
      <c r="I12" s="219" t="n">
        <v>3</v>
      </c>
      <c r="J12" s="219" t="n">
        <v>6</v>
      </c>
      <c r="K12" s="226" t="n">
        <f aca="false">SUM(E12:J12)</f>
        <v>51</v>
      </c>
      <c r="L12" s="227" t="n">
        <v>5.99</v>
      </c>
      <c r="M12" s="221" t="n">
        <f aca="false">K12*L12</f>
        <v>305.49</v>
      </c>
    </row>
    <row r="13" s="1" customFormat="true" ht="19.25" hidden="false" customHeight="true" outlineLevel="0" collapsed="false">
      <c r="A13" s="215"/>
      <c r="B13" s="216" t="n">
        <v>5</v>
      </c>
      <c r="C13" s="217" t="s">
        <v>358</v>
      </c>
      <c r="D13" s="216" t="s">
        <v>352</v>
      </c>
      <c r="E13" s="218" t="n">
        <v>1</v>
      </c>
      <c r="F13" s="219" t="n">
        <v>1</v>
      </c>
      <c r="G13" s="219" t="n">
        <v>0</v>
      </c>
      <c r="H13" s="219" t="n">
        <v>0</v>
      </c>
      <c r="I13" s="219" t="n">
        <v>1</v>
      </c>
      <c r="J13" s="219" t="n">
        <v>1</v>
      </c>
      <c r="K13" s="226" t="n">
        <f aca="false">SUM(E13:J13)</f>
        <v>4</v>
      </c>
      <c r="L13" s="227" t="n">
        <v>40</v>
      </c>
      <c r="M13" s="221" t="n">
        <f aca="false">K13*L13</f>
        <v>160</v>
      </c>
    </row>
    <row r="14" s="1" customFormat="true" ht="34.15" hidden="false" customHeight="true" outlineLevel="0" collapsed="false">
      <c r="A14" s="215"/>
      <c r="B14" s="216" t="n">
        <v>6</v>
      </c>
      <c r="C14" s="217" t="s">
        <v>359</v>
      </c>
      <c r="D14" s="216" t="s">
        <v>360</v>
      </c>
      <c r="E14" s="218" t="n">
        <v>9</v>
      </c>
      <c r="F14" s="219" t="n">
        <v>2</v>
      </c>
      <c r="G14" s="219" t="n">
        <v>1</v>
      </c>
      <c r="H14" s="219" t="n">
        <v>1</v>
      </c>
      <c r="I14" s="219" t="n">
        <v>1</v>
      </c>
      <c r="J14" s="219" t="n">
        <v>2</v>
      </c>
      <c r="K14" s="226" t="n">
        <f aca="false">SUM(E14:J14)</f>
        <v>16</v>
      </c>
      <c r="L14" s="227" t="n">
        <v>6</v>
      </c>
      <c r="M14" s="221" t="n">
        <f aca="false">K14*L14</f>
        <v>96</v>
      </c>
    </row>
    <row r="15" s="1" customFormat="true" ht="34.15" hidden="false" customHeight="true" outlineLevel="0" collapsed="false">
      <c r="A15" s="215"/>
      <c r="B15" s="216" t="n">
        <v>7</v>
      </c>
      <c r="C15" s="217" t="s">
        <v>361</v>
      </c>
      <c r="D15" s="216" t="s">
        <v>334</v>
      </c>
      <c r="E15" s="218" t="n">
        <v>2</v>
      </c>
      <c r="F15" s="219" t="n">
        <v>1</v>
      </c>
      <c r="G15" s="219" t="n">
        <v>1</v>
      </c>
      <c r="H15" s="219" t="n">
        <v>1</v>
      </c>
      <c r="I15" s="219" t="n">
        <v>1</v>
      </c>
      <c r="J15" s="219" t="n">
        <v>1</v>
      </c>
      <c r="K15" s="226" t="n">
        <f aca="false">SUM(E15:J15)</f>
        <v>7</v>
      </c>
      <c r="L15" s="227" t="n">
        <v>1.5</v>
      </c>
      <c r="M15" s="221" t="n">
        <f aca="false">K15*L15</f>
        <v>10.5</v>
      </c>
    </row>
    <row r="16" s="1" customFormat="true" ht="19.25" hidden="false" customHeight="true" outlineLevel="0" collapsed="false">
      <c r="A16" s="215"/>
      <c r="B16" s="216" t="n">
        <v>8</v>
      </c>
      <c r="C16" s="217" t="s">
        <v>362</v>
      </c>
      <c r="D16" s="216" t="s">
        <v>334</v>
      </c>
      <c r="E16" s="218" t="n">
        <v>15</v>
      </c>
      <c r="F16" s="219" t="n">
        <v>5</v>
      </c>
      <c r="G16" s="219" t="n">
        <v>4</v>
      </c>
      <c r="H16" s="219" t="n">
        <v>5</v>
      </c>
      <c r="I16" s="219" t="n">
        <v>5</v>
      </c>
      <c r="J16" s="219" t="n">
        <v>6</v>
      </c>
      <c r="K16" s="226" t="n">
        <f aca="false">SUM(E16:J16)</f>
        <v>40</v>
      </c>
      <c r="L16" s="227" t="n">
        <v>0.5</v>
      </c>
      <c r="M16" s="221" t="n">
        <f aca="false">K16*L16</f>
        <v>20</v>
      </c>
    </row>
    <row r="17" s="1" customFormat="true" ht="19.25" hidden="false" customHeight="true" outlineLevel="0" collapsed="false">
      <c r="A17" s="215"/>
      <c r="B17" s="216" t="n">
        <v>9</v>
      </c>
      <c r="C17" s="217" t="s">
        <v>363</v>
      </c>
      <c r="D17" s="216" t="s">
        <v>334</v>
      </c>
      <c r="E17" s="218" t="n">
        <v>5</v>
      </c>
      <c r="F17" s="219" t="n">
        <v>4</v>
      </c>
      <c r="G17" s="219" t="n">
        <v>3</v>
      </c>
      <c r="H17" s="219" t="n">
        <v>4</v>
      </c>
      <c r="I17" s="219" t="n">
        <v>4</v>
      </c>
      <c r="J17" s="219" t="n">
        <v>6</v>
      </c>
      <c r="K17" s="226" t="n">
        <f aca="false">SUM(E17:J17)</f>
        <v>26</v>
      </c>
      <c r="L17" s="227" t="n">
        <v>0.66</v>
      </c>
      <c r="M17" s="221" t="n">
        <f aca="false">K17*L17</f>
        <v>17.16</v>
      </c>
    </row>
    <row r="18" s="1" customFormat="true" ht="19.25" hidden="false" customHeight="true" outlineLevel="0" collapsed="false">
      <c r="A18" s="215"/>
      <c r="B18" s="216" t="n">
        <v>10</v>
      </c>
      <c r="C18" s="217" t="s">
        <v>364</v>
      </c>
      <c r="D18" s="216" t="s">
        <v>356</v>
      </c>
      <c r="E18" s="218" t="n">
        <v>0.5</v>
      </c>
      <c r="F18" s="219" t="n">
        <v>2</v>
      </c>
      <c r="G18" s="219" t="n">
        <v>1</v>
      </c>
      <c r="H18" s="219" t="n">
        <v>1</v>
      </c>
      <c r="I18" s="219" t="n">
        <v>1</v>
      </c>
      <c r="J18" s="219" t="n">
        <v>2</v>
      </c>
      <c r="K18" s="226" t="n">
        <f aca="false">SUM(E18:J18)</f>
        <v>7.5</v>
      </c>
      <c r="L18" s="227" t="n">
        <v>5.09</v>
      </c>
      <c r="M18" s="221" t="n">
        <f aca="false">K18*L18</f>
        <v>38.175</v>
      </c>
    </row>
    <row r="19" s="1" customFormat="true" ht="19.25" hidden="false" customHeight="true" outlineLevel="0" collapsed="false">
      <c r="A19" s="215"/>
      <c r="B19" s="216" t="n">
        <v>11</v>
      </c>
      <c r="C19" s="217" t="s">
        <v>365</v>
      </c>
      <c r="D19" s="216" t="s">
        <v>366</v>
      </c>
      <c r="E19" s="218" t="n">
        <v>3</v>
      </c>
      <c r="F19" s="219" t="n">
        <v>2</v>
      </c>
      <c r="G19" s="219" t="n">
        <v>2</v>
      </c>
      <c r="H19" s="219" t="n">
        <v>2</v>
      </c>
      <c r="I19" s="219" t="n">
        <v>2</v>
      </c>
      <c r="J19" s="219" t="n">
        <v>2</v>
      </c>
      <c r="K19" s="226" t="n">
        <f aca="false">SUM(E19:J19)</f>
        <v>13</v>
      </c>
      <c r="L19" s="227" t="n">
        <v>8.5</v>
      </c>
      <c r="M19" s="221" t="n">
        <f aca="false">K19*L19</f>
        <v>110.5</v>
      </c>
    </row>
    <row r="20" s="1" customFormat="true" ht="19.25" hidden="false" customHeight="true" outlineLevel="0" collapsed="false">
      <c r="A20" s="215"/>
      <c r="B20" s="216" t="n">
        <v>12</v>
      </c>
      <c r="C20" s="217" t="s">
        <v>367</v>
      </c>
      <c r="D20" s="216" t="s">
        <v>368</v>
      </c>
      <c r="E20" s="218" t="n">
        <v>4</v>
      </c>
      <c r="F20" s="219" t="n">
        <v>1</v>
      </c>
      <c r="G20" s="219" t="n">
        <v>1</v>
      </c>
      <c r="H20" s="219" t="n">
        <v>1</v>
      </c>
      <c r="I20" s="219" t="n">
        <v>1</v>
      </c>
      <c r="J20" s="219" t="n">
        <v>1</v>
      </c>
      <c r="K20" s="226" t="n">
        <f aca="false">SUM(E20:J20)</f>
        <v>9</v>
      </c>
      <c r="L20" s="227" t="n">
        <v>17.5</v>
      </c>
      <c r="M20" s="221" t="n">
        <f aca="false">K20*L20</f>
        <v>157.5</v>
      </c>
    </row>
    <row r="21" s="1" customFormat="true" ht="19.25" hidden="false" customHeight="true" outlineLevel="0" collapsed="false">
      <c r="A21" s="215"/>
      <c r="B21" s="216" t="n">
        <v>13</v>
      </c>
      <c r="C21" s="217" t="s">
        <v>369</v>
      </c>
      <c r="D21" s="216" t="s">
        <v>360</v>
      </c>
      <c r="E21" s="218" t="n">
        <v>1</v>
      </c>
      <c r="F21" s="219" t="n">
        <v>1</v>
      </c>
      <c r="G21" s="219" t="n">
        <v>0.5</v>
      </c>
      <c r="H21" s="219" t="n">
        <v>1</v>
      </c>
      <c r="I21" s="219" t="n">
        <v>1</v>
      </c>
      <c r="J21" s="219" t="n">
        <v>1</v>
      </c>
      <c r="K21" s="226" t="n">
        <f aca="false">SUM(E21:J21)</f>
        <v>5.5</v>
      </c>
      <c r="L21" s="227" t="n">
        <v>10</v>
      </c>
      <c r="M21" s="221" t="n">
        <f aca="false">K21*L21</f>
        <v>55</v>
      </c>
    </row>
    <row r="22" s="1" customFormat="true" ht="19.25" hidden="false" customHeight="true" outlineLevel="0" collapsed="false">
      <c r="A22" s="215"/>
      <c r="B22" s="216" t="n">
        <v>14</v>
      </c>
      <c r="C22" s="217" t="s">
        <v>370</v>
      </c>
      <c r="D22" s="216" t="s">
        <v>352</v>
      </c>
      <c r="E22" s="218" t="n">
        <v>5</v>
      </c>
      <c r="F22" s="219" t="n">
        <v>2</v>
      </c>
      <c r="G22" s="219" t="n">
        <v>1</v>
      </c>
      <c r="H22" s="219" t="n">
        <v>1</v>
      </c>
      <c r="I22" s="219" t="n">
        <v>1</v>
      </c>
      <c r="J22" s="219" t="n">
        <v>2</v>
      </c>
      <c r="K22" s="226" t="n">
        <f aca="false">SUM(E22:J22)</f>
        <v>12</v>
      </c>
      <c r="L22" s="227" t="n">
        <v>22.5</v>
      </c>
      <c r="M22" s="221" t="n">
        <f aca="false">K22*L22</f>
        <v>270</v>
      </c>
    </row>
    <row r="23" s="1" customFormat="true" ht="19.25" hidden="false" customHeight="true" outlineLevel="0" collapsed="false">
      <c r="A23" s="215"/>
      <c r="B23" s="216" t="n">
        <v>15</v>
      </c>
      <c r="C23" s="217" t="s">
        <v>371</v>
      </c>
      <c r="D23" s="216" t="s">
        <v>334</v>
      </c>
      <c r="E23" s="218" t="n">
        <v>5</v>
      </c>
      <c r="F23" s="219" t="n">
        <v>2</v>
      </c>
      <c r="G23" s="219" t="n">
        <v>2</v>
      </c>
      <c r="H23" s="219" t="n">
        <v>3</v>
      </c>
      <c r="I23" s="219" t="n">
        <v>3</v>
      </c>
      <c r="J23" s="219" t="n">
        <v>4</v>
      </c>
      <c r="K23" s="226" t="n">
        <f aca="false">SUM(E23:J23)</f>
        <v>19</v>
      </c>
      <c r="L23" s="227" t="n">
        <v>3.9</v>
      </c>
      <c r="M23" s="221" t="n">
        <f aca="false">K23*L23</f>
        <v>74.1</v>
      </c>
    </row>
    <row r="24" s="1" customFormat="true" ht="19.25" hidden="false" customHeight="true" outlineLevel="0" collapsed="false">
      <c r="A24" s="215"/>
      <c r="B24" s="216" t="n">
        <v>16</v>
      </c>
      <c r="C24" s="217" t="s">
        <v>372</v>
      </c>
      <c r="D24" s="216" t="s">
        <v>360</v>
      </c>
      <c r="E24" s="218" t="n">
        <v>5</v>
      </c>
      <c r="F24" s="219" t="n">
        <v>2</v>
      </c>
      <c r="G24" s="219" t="n">
        <v>1</v>
      </c>
      <c r="H24" s="219" t="n">
        <v>1</v>
      </c>
      <c r="I24" s="219" t="n">
        <v>1</v>
      </c>
      <c r="J24" s="219" t="n">
        <v>1</v>
      </c>
      <c r="K24" s="226" t="n">
        <f aca="false">SUM(E24:J24)</f>
        <v>11</v>
      </c>
      <c r="L24" s="227" t="n">
        <v>16.9</v>
      </c>
      <c r="M24" s="221" t="n">
        <f aca="false">K24*L24</f>
        <v>185.9</v>
      </c>
    </row>
    <row r="25" s="1" customFormat="true" ht="19.25" hidden="false" customHeight="true" outlineLevel="0" collapsed="false">
      <c r="A25" s="215"/>
      <c r="B25" s="216" t="n">
        <v>17</v>
      </c>
      <c r="C25" s="217" t="s">
        <v>373</v>
      </c>
      <c r="D25" s="216" t="s">
        <v>334</v>
      </c>
      <c r="E25" s="218" t="n">
        <v>20</v>
      </c>
      <c r="F25" s="219" t="n">
        <v>10</v>
      </c>
      <c r="G25" s="219" t="n">
        <v>4</v>
      </c>
      <c r="H25" s="219" t="n">
        <v>6</v>
      </c>
      <c r="I25" s="219" t="n">
        <v>4</v>
      </c>
      <c r="J25" s="219" t="n">
        <v>6</v>
      </c>
      <c r="K25" s="226" t="n">
        <f aca="false">SUM(E25:J25)</f>
        <v>50</v>
      </c>
      <c r="L25" s="227" t="n">
        <v>2</v>
      </c>
      <c r="M25" s="221" t="n">
        <f aca="false">K25*L25</f>
        <v>100</v>
      </c>
    </row>
    <row r="26" s="1" customFormat="true" ht="34.15" hidden="false" customHeight="true" outlineLevel="0" collapsed="false">
      <c r="A26" s="215"/>
      <c r="B26" s="216" t="n">
        <v>18</v>
      </c>
      <c r="C26" s="217" t="s">
        <v>374</v>
      </c>
      <c r="D26" s="216" t="s">
        <v>375</v>
      </c>
      <c r="E26" s="218" t="n">
        <v>384</v>
      </c>
      <c r="F26" s="219" t="n">
        <v>128</v>
      </c>
      <c r="G26" s="219" t="n">
        <v>64</v>
      </c>
      <c r="H26" s="219" t="n">
        <v>128</v>
      </c>
      <c r="I26" s="219" t="n">
        <v>64</v>
      </c>
      <c r="J26" s="219" t="n">
        <v>72</v>
      </c>
      <c r="K26" s="226" t="n">
        <f aca="false">SUM(E26:J26)</f>
        <v>840</v>
      </c>
      <c r="L26" s="227" t="n">
        <v>0.75</v>
      </c>
      <c r="M26" s="221" t="n">
        <f aca="false">K26*L26</f>
        <v>630</v>
      </c>
    </row>
    <row r="27" s="1" customFormat="true" ht="34.15" hidden="false" customHeight="true" outlineLevel="0" collapsed="false">
      <c r="A27" s="215"/>
      <c r="B27" s="216" t="n">
        <v>19</v>
      </c>
      <c r="C27" s="217" t="s">
        <v>376</v>
      </c>
      <c r="D27" s="216" t="s">
        <v>377</v>
      </c>
      <c r="E27" s="218" t="n">
        <v>54</v>
      </c>
      <c r="F27" s="219" t="n">
        <v>15</v>
      </c>
      <c r="G27" s="219" t="n">
        <v>10</v>
      </c>
      <c r="H27" s="219" t="n">
        <v>15</v>
      </c>
      <c r="I27" s="219" t="n">
        <v>20</v>
      </c>
      <c r="J27" s="219" t="n">
        <v>10</v>
      </c>
      <c r="K27" s="226" t="n">
        <f aca="false">SUM(E27:J27)</f>
        <v>124</v>
      </c>
      <c r="L27" s="227" t="n">
        <v>8</v>
      </c>
      <c r="M27" s="221" t="n">
        <f aca="false">K27*L27</f>
        <v>992</v>
      </c>
    </row>
    <row r="28" s="1" customFormat="true" ht="19.25" hidden="false" customHeight="true" outlineLevel="0" collapsed="false">
      <c r="A28" s="215"/>
      <c r="B28" s="216" t="n">
        <v>20</v>
      </c>
      <c r="C28" s="217" t="s">
        <v>378</v>
      </c>
      <c r="D28" s="216" t="s">
        <v>334</v>
      </c>
      <c r="E28" s="218" t="n">
        <v>10</v>
      </c>
      <c r="F28" s="219" t="n">
        <v>2</v>
      </c>
      <c r="G28" s="219" t="n">
        <v>1</v>
      </c>
      <c r="H28" s="219" t="n">
        <v>1</v>
      </c>
      <c r="I28" s="219" t="n">
        <v>1</v>
      </c>
      <c r="J28" s="219" t="n">
        <v>2</v>
      </c>
      <c r="K28" s="226" t="n">
        <f aca="false">SUM(E28:J28)</f>
        <v>17</v>
      </c>
      <c r="L28" s="227" t="n">
        <v>4.09</v>
      </c>
      <c r="M28" s="221" t="n">
        <f aca="false">K28*L28</f>
        <v>69.53</v>
      </c>
    </row>
    <row r="29" s="1" customFormat="true" ht="32.8" hidden="false" customHeight="false" outlineLevel="0" collapsed="false">
      <c r="A29" s="215"/>
      <c r="B29" s="216" t="n">
        <v>21</v>
      </c>
      <c r="C29" s="217" t="s">
        <v>379</v>
      </c>
      <c r="D29" s="216" t="s">
        <v>380</v>
      </c>
      <c r="E29" s="218" t="n">
        <v>2</v>
      </c>
      <c r="F29" s="219" t="n">
        <v>1</v>
      </c>
      <c r="G29" s="219" t="n">
        <v>1</v>
      </c>
      <c r="H29" s="219" t="n">
        <v>1</v>
      </c>
      <c r="I29" s="219" t="n">
        <v>1</v>
      </c>
      <c r="J29" s="219" t="n">
        <v>1</v>
      </c>
      <c r="K29" s="226" t="n">
        <f aca="false">SUM(E29:J29)</f>
        <v>7</v>
      </c>
      <c r="L29" s="227" t="n">
        <v>10</v>
      </c>
      <c r="M29" s="221" t="n">
        <f aca="false">K29*L29</f>
        <v>70</v>
      </c>
    </row>
    <row r="30" s="1" customFormat="true" ht="19.25" hidden="false" customHeight="true" outlineLevel="0" collapsed="false">
      <c r="A30" s="215"/>
      <c r="B30" s="216" t="n">
        <v>22</v>
      </c>
      <c r="C30" s="217" t="s">
        <v>381</v>
      </c>
      <c r="D30" s="216" t="s">
        <v>334</v>
      </c>
      <c r="E30" s="218" t="n">
        <v>15</v>
      </c>
      <c r="F30" s="219" t="n">
        <v>4</v>
      </c>
      <c r="G30" s="219" t="n">
        <v>2</v>
      </c>
      <c r="H30" s="219" t="n">
        <v>1</v>
      </c>
      <c r="I30" s="219" t="n">
        <v>2</v>
      </c>
      <c r="J30" s="219" t="n">
        <v>2</v>
      </c>
      <c r="K30" s="226" t="n">
        <f aca="false">SUM(E30:J30)</f>
        <v>26</v>
      </c>
      <c r="L30" s="227" t="n">
        <v>2.99</v>
      </c>
      <c r="M30" s="221" t="n">
        <f aca="false">K30*L30</f>
        <v>77.74</v>
      </c>
    </row>
    <row r="31" s="1" customFormat="true" ht="19.25" hidden="false" customHeight="true" outlineLevel="0" collapsed="false">
      <c r="A31" s="215"/>
      <c r="B31" s="216" t="n">
        <v>23</v>
      </c>
      <c r="C31" s="217" t="s">
        <v>382</v>
      </c>
      <c r="D31" s="216" t="s">
        <v>352</v>
      </c>
      <c r="E31" s="218" t="n">
        <v>1</v>
      </c>
      <c r="F31" s="219" t="n">
        <v>0.5</v>
      </c>
      <c r="G31" s="219" t="n">
        <v>0</v>
      </c>
      <c r="H31" s="219" t="n">
        <v>0</v>
      </c>
      <c r="I31" s="219" t="n">
        <v>1</v>
      </c>
      <c r="J31" s="219" t="n">
        <v>1</v>
      </c>
      <c r="K31" s="226" t="n">
        <f aca="false">SUM(E31:J31)</f>
        <v>3.5</v>
      </c>
      <c r="L31" s="227" t="n">
        <v>32</v>
      </c>
      <c r="M31" s="221" t="n">
        <f aca="false">K31*L31</f>
        <v>112</v>
      </c>
    </row>
    <row r="32" s="1" customFormat="true" ht="19.25" hidden="false" customHeight="true" outlineLevel="0" collapsed="false">
      <c r="A32" s="215"/>
      <c r="B32" s="216" t="n">
        <v>24</v>
      </c>
      <c r="C32" s="217" t="s">
        <v>383</v>
      </c>
      <c r="D32" s="216" t="s">
        <v>334</v>
      </c>
      <c r="E32" s="218" t="n">
        <v>10</v>
      </c>
      <c r="F32" s="219" t="n">
        <v>5</v>
      </c>
      <c r="G32" s="219" t="n">
        <v>2</v>
      </c>
      <c r="H32" s="219" t="n">
        <v>2</v>
      </c>
      <c r="I32" s="219" t="n">
        <v>5</v>
      </c>
      <c r="J32" s="219" t="n">
        <v>6</v>
      </c>
      <c r="K32" s="226" t="n">
        <f aca="false">SUM(E32:J32)</f>
        <v>30</v>
      </c>
      <c r="L32" s="227" t="n">
        <v>3.88</v>
      </c>
      <c r="M32" s="221" t="n">
        <f aca="false">K32*L32</f>
        <v>116.4</v>
      </c>
    </row>
    <row r="33" s="1" customFormat="true" ht="19.25" hidden="false" customHeight="true" outlineLevel="0" collapsed="false">
      <c r="A33" s="215"/>
      <c r="B33" s="216" t="n">
        <v>25</v>
      </c>
      <c r="C33" s="217" t="s">
        <v>384</v>
      </c>
      <c r="D33" s="216" t="s">
        <v>385</v>
      </c>
      <c r="E33" s="218" t="n">
        <v>2</v>
      </c>
      <c r="F33" s="219" t="n">
        <v>2</v>
      </c>
      <c r="G33" s="219" t="n">
        <v>3</v>
      </c>
      <c r="H33" s="219" t="n">
        <v>2</v>
      </c>
      <c r="I33" s="219" t="n">
        <v>2</v>
      </c>
      <c r="J33" s="219" t="n">
        <v>2</v>
      </c>
      <c r="K33" s="226" t="n">
        <f aca="false">SUM(E33:J33)</f>
        <v>13</v>
      </c>
      <c r="L33" s="227" t="n">
        <v>4.59</v>
      </c>
      <c r="M33" s="221" t="n">
        <f aca="false">K33*L33</f>
        <v>59.67</v>
      </c>
    </row>
    <row r="34" s="1" customFormat="true" ht="32.8" hidden="false" customHeight="false" outlineLevel="0" collapsed="false">
      <c r="A34" s="215"/>
      <c r="B34" s="216" t="n">
        <v>26</v>
      </c>
      <c r="C34" s="217" t="s">
        <v>386</v>
      </c>
      <c r="D34" s="216" t="s">
        <v>352</v>
      </c>
      <c r="E34" s="218" t="n">
        <v>2</v>
      </c>
      <c r="F34" s="219" t="n">
        <v>1</v>
      </c>
      <c r="G34" s="219" t="n">
        <v>1</v>
      </c>
      <c r="H34" s="219" t="n">
        <v>1</v>
      </c>
      <c r="I34" s="219" t="n">
        <v>1</v>
      </c>
      <c r="J34" s="219" t="n">
        <v>1</v>
      </c>
      <c r="K34" s="226" t="n">
        <f aca="false">SUM(E34:J34)</f>
        <v>7</v>
      </c>
      <c r="L34" s="227" t="n">
        <v>25.5</v>
      </c>
      <c r="M34" s="221" t="n">
        <f aca="false">K34*L34</f>
        <v>178.5</v>
      </c>
    </row>
    <row r="35" s="1" customFormat="true" ht="17.15" hidden="false" customHeight="false" outlineLevel="0" collapsed="false">
      <c r="A35" s="215"/>
      <c r="B35" s="216" t="n">
        <v>27</v>
      </c>
      <c r="C35" s="217" t="s">
        <v>387</v>
      </c>
      <c r="D35" s="216" t="s">
        <v>388</v>
      </c>
      <c r="E35" s="218" t="n">
        <v>1</v>
      </c>
      <c r="F35" s="219" t="n">
        <v>0</v>
      </c>
      <c r="G35" s="219" t="n">
        <v>0</v>
      </c>
      <c r="H35" s="219" t="n">
        <v>0</v>
      </c>
      <c r="I35" s="219" t="n">
        <v>0</v>
      </c>
      <c r="J35" s="219" t="n">
        <v>0</v>
      </c>
      <c r="K35" s="226" t="n">
        <f aca="false">SUM(E35:J35)</f>
        <v>1</v>
      </c>
      <c r="L35" s="227" t="n">
        <v>64.7</v>
      </c>
      <c r="M35" s="221" t="n">
        <f aca="false">K35*L35</f>
        <v>64.7</v>
      </c>
    </row>
    <row r="36" s="1" customFormat="true" ht="17.15" hidden="false" customHeight="false" outlineLevel="0" collapsed="false">
      <c r="A36" s="215"/>
      <c r="B36" s="216" t="n">
        <v>28</v>
      </c>
      <c r="C36" s="217" t="s">
        <v>389</v>
      </c>
      <c r="D36" s="216" t="s">
        <v>388</v>
      </c>
      <c r="E36" s="218" t="n">
        <v>1</v>
      </c>
      <c r="F36" s="219" t="n">
        <v>0</v>
      </c>
      <c r="G36" s="219" t="n">
        <v>0</v>
      </c>
      <c r="H36" s="219" t="n">
        <v>0</v>
      </c>
      <c r="I36" s="219" t="n">
        <v>0</v>
      </c>
      <c r="J36" s="219" t="n">
        <v>0</v>
      </c>
      <c r="K36" s="226" t="n">
        <f aca="false">SUM(E36:J36)</f>
        <v>1</v>
      </c>
      <c r="L36" s="227" t="n">
        <v>38.28</v>
      </c>
      <c r="M36" s="221" t="n">
        <f aca="false">K36*L36</f>
        <v>38.28</v>
      </c>
    </row>
    <row r="37" s="1" customFormat="true" ht="19.25" hidden="false" customHeight="true" outlineLevel="0" collapsed="false">
      <c r="A37" s="215"/>
      <c r="B37" s="216" t="n">
        <v>29</v>
      </c>
      <c r="C37" s="217" t="s">
        <v>390</v>
      </c>
      <c r="D37" s="216" t="s">
        <v>388</v>
      </c>
      <c r="E37" s="218" t="n">
        <v>3</v>
      </c>
      <c r="F37" s="219" t="n">
        <v>1</v>
      </c>
      <c r="G37" s="219" t="n">
        <v>1</v>
      </c>
      <c r="H37" s="219" t="n">
        <v>1</v>
      </c>
      <c r="I37" s="219" t="n">
        <v>1</v>
      </c>
      <c r="J37" s="219" t="n">
        <v>1</v>
      </c>
      <c r="K37" s="226" t="n">
        <f aca="false">SUM(E37:J37)</f>
        <v>8</v>
      </c>
      <c r="L37" s="227" t="n">
        <v>20</v>
      </c>
      <c r="M37" s="221" t="n">
        <f aca="false">K37*L37</f>
        <v>160</v>
      </c>
    </row>
    <row r="38" s="1" customFormat="true" ht="19.25" hidden="false" customHeight="true" outlineLevel="0" collapsed="false">
      <c r="A38" s="215"/>
      <c r="B38" s="216" t="n">
        <v>30</v>
      </c>
      <c r="C38" s="217" t="s">
        <v>391</v>
      </c>
      <c r="D38" s="216" t="s">
        <v>388</v>
      </c>
      <c r="E38" s="218" t="n">
        <v>6</v>
      </c>
      <c r="F38" s="219" t="n">
        <v>1</v>
      </c>
      <c r="G38" s="219" t="n">
        <v>0</v>
      </c>
      <c r="H38" s="219" t="n">
        <v>1</v>
      </c>
      <c r="I38" s="219" t="n">
        <v>1</v>
      </c>
      <c r="J38" s="219" t="n">
        <v>2</v>
      </c>
      <c r="K38" s="226" t="n">
        <f aca="false">SUM(E38:J38)</f>
        <v>11</v>
      </c>
      <c r="L38" s="227" t="n">
        <v>11.4</v>
      </c>
      <c r="M38" s="221" t="n">
        <f aca="false">K38*L38</f>
        <v>125.4</v>
      </c>
    </row>
    <row r="39" s="1" customFormat="true" ht="19.25" hidden="false" customHeight="true" outlineLevel="0" collapsed="false">
      <c r="A39" s="215"/>
      <c r="B39" s="216" t="n">
        <v>31</v>
      </c>
      <c r="C39" s="217" t="s">
        <v>392</v>
      </c>
      <c r="D39" s="216" t="s">
        <v>388</v>
      </c>
      <c r="E39" s="218" t="n">
        <v>4</v>
      </c>
      <c r="F39" s="219" t="n">
        <v>2</v>
      </c>
      <c r="G39" s="219" t="n">
        <v>2</v>
      </c>
      <c r="H39" s="219" t="n">
        <v>2</v>
      </c>
      <c r="I39" s="219" t="n">
        <v>1</v>
      </c>
      <c r="J39" s="219" t="n">
        <v>1</v>
      </c>
      <c r="K39" s="226" t="n">
        <f aca="false">SUM(E39:J39)</f>
        <v>12</v>
      </c>
      <c r="L39" s="227" t="n">
        <v>8</v>
      </c>
      <c r="M39" s="221" t="n">
        <f aca="false">K39*L39</f>
        <v>96</v>
      </c>
    </row>
    <row r="40" s="1" customFormat="true" ht="19.25" hidden="false" customHeight="true" outlineLevel="0" collapsed="false">
      <c r="A40" s="215"/>
      <c r="B40" s="216" t="n">
        <v>32</v>
      </c>
      <c r="C40" s="217" t="s">
        <v>393</v>
      </c>
      <c r="D40" s="216" t="s">
        <v>388</v>
      </c>
      <c r="E40" s="218" t="n">
        <v>3</v>
      </c>
      <c r="F40" s="219" t="n">
        <v>0</v>
      </c>
      <c r="G40" s="219" t="n">
        <v>0</v>
      </c>
      <c r="H40" s="219" t="n">
        <v>0</v>
      </c>
      <c r="I40" s="219" t="n">
        <v>0.5</v>
      </c>
      <c r="J40" s="219" t="n">
        <v>1</v>
      </c>
      <c r="K40" s="226" t="n">
        <f aca="false">SUM(E40:J40)</f>
        <v>4.5</v>
      </c>
      <c r="L40" s="227" t="n">
        <v>11</v>
      </c>
      <c r="M40" s="221" t="n">
        <f aca="false">K40*L40</f>
        <v>49.5</v>
      </c>
    </row>
    <row r="41" s="1" customFormat="true" ht="19.25" hidden="false" customHeight="true" outlineLevel="0" collapsed="false">
      <c r="B41" s="222" t="s">
        <v>394</v>
      </c>
      <c r="C41" s="222"/>
      <c r="D41" s="222"/>
      <c r="E41" s="222"/>
      <c r="F41" s="222"/>
      <c r="G41" s="222"/>
      <c r="H41" s="222"/>
      <c r="I41" s="222"/>
      <c r="J41" s="222"/>
      <c r="K41" s="222"/>
      <c r="L41" s="222"/>
      <c r="M41" s="221" t="n">
        <f aca="false">SUM(M9:M40)</f>
        <v>4835.045</v>
      </c>
    </row>
    <row r="42" s="1" customFormat="true" ht="19.25" hidden="false" customHeight="true" outlineLevel="0" collapsed="false">
      <c r="B42" s="222" t="s">
        <v>395</v>
      </c>
      <c r="C42" s="222"/>
      <c r="D42" s="222"/>
      <c r="E42" s="222"/>
      <c r="F42" s="222"/>
      <c r="G42" s="222"/>
      <c r="H42" s="222"/>
      <c r="I42" s="222"/>
      <c r="J42" s="222"/>
      <c r="K42" s="222"/>
      <c r="L42" s="222"/>
      <c r="M42" s="226" t="n">
        <f aca="false">'QTDE-ESTIMADA-SERVENTES'!C118</f>
        <v>12</v>
      </c>
    </row>
    <row r="43" s="1" customFormat="true" ht="19.25" hidden="false" customHeight="true" outlineLevel="0" collapsed="false">
      <c r="B43" s="222" t="s">
        <v>396</v>
      </c>
      <c r="C43" s="222"/>
      <c r="D43" s="222"/>
      <c r="E43" s="222"/>
      <c r="F43" s="222"/>
      <c r="G43" s="222"/>
      <c r="H43" s="222"/>
      <c r="I43" s="222"/>
      <c r="J43" s="222"/>
      <c r="K43" s="222"/>
      <c r="L43" s="222"/>
      <c r="M43" s="221" t="n">
        <f aca="false">M41/M42</f>
        <v>402.920416666667</v>
      </c>
    </row>
    <row r="44" s="1" customFormat="true" ht="16.5" hidden="false" customHeight="true" outlineLevel="0" collapsed="false">
      <c r="B44" s="223"/>
      <c r="C44" s="223"/>
      <c r="D44" s="223"/>
      <c r="E44" s="223"/>
      <c r="F44" s="223"/>
      <c r="G44" s="223"/>
      <c r="H44" s="223"/>
      <c r="I44" s="223"/>
      <c r="J44" s="223"/>
      <c r="K44" s="223"/>
      <c r="L44" s="224"/>
      <c r="M44" s="224"/>
    </row>
    <row r="45" s="1" customFormat="true" ht="16.5" hidden="false" customHeight="true" outlineLevel="0" collapsed="false">
      <c r="B45" s="223"/>
      <c r="C45" s="223"/>
      <c r="D45" s="223"/>
      <c r="E45" s="223"/>
      <c r="F45" s="223"/>
      <c r="G45" s="223"/>
      <c r="H45" s="223"/>
      <c r="I45" s="223"/>
      <c r="J45" s="223"/>
      <c r="K45" s="223"/>
      <c r="L45" s="224"/>
      <c r="M45" s="224"/>
    </row>
    <row r="46" s="1" customFormat="true" ht="16.5" hidden="false" customHeight="true" outlineLevel="0" collapsed="false">
      <c r="B46" s="214" t="s">
        <v>397</v>
      </c>
      <c r="C46" s="214"/>
      <c r="D46" s="214"/>
      <c r="E46" s="214"/>
      <c r="F46" s="214"/>
      <c r="G46" s="214"/>
      <c r="H46" s="214"/>
      <c r="I46" s="214"/>
      <c r="J46" s="214"/>
      <c r="K46" s="214"/>
      <c r="L46" s="214"/>
      <c r="M46" s="214"/>
    </row>
    <row r="47" s="1" customFormat="true" ht="31.45" hidden="false" customHeight="true" outlineLevel="0" collapsed="false">
      <c r="B47" s="214" t="s">
        <v>325</v>
      </c>
      <c r="C47" s="214" t="s">
        <v>124</v>
      </c>
      <c r="D47" s="214" t="s">
        <v>327</v>
      </c>
      <c r="E47" s="214" t="s">
        <v>398</v>
      </c>
      <c r="F47" s="214"/>
      <c r="G47" s="214"/>
      <c r="H47" s="214"/>
      <c r="I47" s="214"/>
      <c r="J47" s="214"/>
      <c r="K47" s="214" t="s">
        <v>399</v>
      </c>
      <c r="L47" s="214" t="s">
        <v>348</v>
      </c>
      <c r="M47" s="214" t="s">
        <v>400</v>
      </c>
    </row>
    <row r="48" s="1" customFormat="true" ht="30.65" hidden="false" customHeight="true" outlineLevel="0" collapsed="false">
      <c r="B48" s="214"/>
      <c r="C48" s="214"/>
      <c r="D48" s="214"/>
      <c r="E48" s="214" t="s">
        <v>350</v>
      </c>
      <c r="F48" s="214" t="s">
        <v>102</v>
      </c>
      <c r="G48" s="214" t="s">
        <v>103</v>
      </c>
      <c r="H48" s="214" t="s">
        <v>104</v>
      </c>
      <c r="I48" s="214" t="s">
        <v>105</v>
      </c>
      <c r="J48" s="214" t="s">
        <v>106</v>
      </c>
      <c r="K48" s="214"/>
      <c r="L48" s="214"/>
      <c r="M48" s="214"/>
    </row>
    <row r="49" s="1" customFormat="true" ht="30.65" hidden="false" customHeight="true" outlineLevel="0" collapsed="false">
      <c r="B49" s="214"/>
      <c r="C49" s="214"/>
      <c r="D49" s="214"/>
      <c r="E49" s="214" t="s">
        <v>133</v>
      </c>
      <c r="F49" s="214" t="s">
        <v>134</v>
      </c>
      <c r="G49" s="214" t="s">
        <v>135</v>
      </c>
      <c r="H49" s="214" t="s">
        <v>136</v>
      </c>
      <c r="I49" s="214" t="s">
        <v>137</v>
      </c>
      <c r="J49" s="214" t="s">
        <v>138</v>
      </c>
      <c r="K49" s="214" t="s">
        <v>139</v>
      </c>
      <c r="L49" s="214" t="s">
        <v>140</v>
      </c>
      <c r="M49" s="214" t="s">
        <v>141</v>
      </c>
    </row>
    <row r="50" s="1" customFormat="true" ht="32.8" hidden="false" customHeight="false" outlineLevel="0" collapsed="false">
      <c r="B50" s="216" t="n">
        <v>1</v>
      </c>
      <c r="C50" s="217" t="s">
        <v>401</v>
      </c>
      <c r="D50" s="216" t="s">
        <v>334</v>
      </c>
      <c r="E50" s="218" t="n">
        <v>36</v>
      </c>
      <c r="F50" s="219" t="n">
        <v>8</v>
      </c>
      <c r="G50" s="219" t="n">
        <v>4</v>
      </c>
      <c r="H50" s="219" t="n">
        <v>6</v>
      </c>
      <c r="I50" s="219" t="n">
        <v>6</v>
      </c>
      <c r="J50" s="219" t="n">
        <v>8</v>
      </c>
      <c r="K50" s="226" t="n">
        <f aca="false">SUM(E50:J50)</f>
        <v>68</v>
      </c>
      <c r="L50" s="228" t="n">
        <v>5.8</v>
      </c>
      <c r="M50" s="221" t="n">
        <f aca="false">K50*L50</f>
        <v>394.4</v>
      </c>
    </row>
    <row r="51" s="1" customFormat="true" ht="16.5" hidden="false" customHeight="true" outlineLevel="0" collapsed="false">
      <c r="B51" s="216" t="n">
        <v>2</v>
      </c>
      <c r="C51" s="217" t="s">
        <v>402</v>
      </c>
      <c r="D51" s="216" t="s">
        <v>334</v>
      </c>
      <c r="E51" s="218" t="n">
        <v>12</v>
      </c>
      <c r="F51" s="219" t="n">
        <v>2</v>
      </c>
      <c r="G51" s="219" t="n">
        <v>1</v>
      </c>
      <c r="H51" s="219" t="n">
        <v>1</v>
      </c>
      <c r="I51" s="219" t="n">
        <v>1</v>
      </c>
      <c r="J51" s="219" t="n">
        <v>2</v>
      </c>
      <c r="K51" s="226" t="n">
        <f aca="false">SUM(E51:J51)</f>
        <v>19</v>
      </c>
      <c r="L51" s="228" t="n">
        <v>1.99</v>
      </c>
      <c r="M51" s="221" t="n">
        <f aca="false">K51*L51</f>
        <v>37.81</v>
      </c>
    </row>
    <row r="52" s="1" customFormat="true" ht="17.15" hidden="false" customHeight="false" outlineLevel="0" collapsed="false">
      <c r="B52" s="216" t="n">
        <v>3</v>
      </c>
      <c r="C52" s="217" t="s">
        <v>403</v>
      </c>
      <c r="D52" s="216" t="s">
        <v>334</v>
      </c>
      <c r="E52" s="218" t="n">
        <v>12</v>
      </c>
      <c r="F52" s="219" t="n">
        <v>2</v>
      </c>
      <c r="G52" s="219" t="n">
        <v>1</v>
      </c>
      <c r="H52" s="219" t="n">
        <v>1</v>
      </c>
      <c r="I52" s="219" t="n">
        <v>1</v>
      </c>
      <c r="J52" s="219" t="n">
        <v>2</v>
      </c>
      <c r="K52" s="226" t="n">
        <f aca="false">SUM(E52:J52)</f>
        <v>19</v>
      </c>
      <c r="L52" s="228" t="n">
        <v>5</v>
      </c>
      <c r="M52" s="221" t="n">
        <f aca="false">K52*L52</f>
        <v>95</v>
      </c>
    </row>
    <row r="53" s="1" customFormat="true" ht="32.8" hidden="false" customHeight="false" outlineLevel="0" collapsed="false">
      <c r="B53" s="216" t="n">
        <v>4</v>
      </c>
      <c r="C53" s="217" t="s">
        <v>404</v>
      </c>
      <c r="D53" s="216" t="s">
        <v>334</v>
      </c>
      <c r="E53" s="218" t="n">
        <v>6</v>
      </c>
      <c r="F53" s="219" t="n">
        <v>6</v>
      </c>
      <c r="G53" s="219" t="n">
        <v>2</v>
      </c>
      <c r="H53" s="219" t="n">
        <v>2</v>
      </c>
      <c r="I53" s="219" t="n">
        <v>2</v>
      </c>
      <c r="J53" s="219" t="n">
        <v>6</v>
      </c>
      <c r="K53" s="226" t="n">
        <f aca="false">SUM(E53:J53)</f>
        <v>24</v>
      </c>
      <c r="L53" s="228" t="n">
        <v>19.99</v>
      </c>
      <c r="M53" s="221" t="n">
        <f aca="false">K53*L53</f>
        <v>479.76</v>
      </c>
    </row>
    <row r="54" s="1" customFormat="true" ht="51.75" hidden="false" customHeight="false" outlineLevel="0" collapsed="false">
      <c r="B54" s="216" t="n">
        <v>5</v>
      </c>
      <c r="C54" s="217" t="s">
        <v>405</v>
      </c>
      <c r="D54" s="216" t="s">
        <v>334</v>
      </c>
      <c r="E54" s="218" t="n">
        <v>12</v>
      </c>
      <c r="F54" s="219" t="n">
        <v>12</v>
      </c>
      <c r="G54" s="219" t="n">
        <v>3</v>
      </c>
      <c r="H54" s="219" t="n">
        <v>3</v>
      </c>
      <c r="I54" s="219" t="n">
        <v>4</v>
      </c>
      <c r="J54" s="219" t="n">
        <v>12</v>
      </c>
      <c r="K54" s="226" t="n">
        <f aca="false">SUM(E54:J54)</f>
        <v>46</v>
      </c>
      <c r="L54" s="228" t="n">
        <v>19.99</v>
      </c>
      <c r="M54" s="221" t="n">
        <f aca="false">K54*L54</f>
        <v>919.54</v>
      </c>
    </row>
    <row r="55" s="1" customFormat="true" ht="32.8" hidden="false" customHeight="false" outlineLevel="0" collapsed="false">
      <c r="B55" s="216" t="n">
        <v>6</v>
      </c>
      <c r="C55" s="217" t="s">
        <v>406</v>
      </c>
      <c r="D55" s="216" t="s">
        <v>334</v>
      </c>
      <c r="E55" s="218" t="n">
        <v>6</v>
      </c>
      <c r="F55" s="219" t="n">
        <v>4</v>
      </c>
      <c r="G55" s="219" t="n">
        <v>2</v>
      </c>
      <c r="H55" s="219" t="n">
        <v>2</v>
      </c>
      <c r="I55" s="219" t="n">
        <v>2</v>
      </c>
      <c r="J55" s="219" t="n">
        <v>4</v>
      </c>
      <c r="K55" s="226" t="n">
        <f aca="false">SUM(E55:J55)</f>
        <v>20</v>
      </c>
      <c r="L55" s="228" t="n">
        <v>42</v>
      </c>
      <c r="M55" s="221" t="n">
        <f aca="false">K55*L55</f>
        <v>840</v>
      </c>
    </row>
    <row r="56" s="1" customFormat="true" ht="16.5" hidden="false" customHeight="true" outlineLevel="0" collapsed="false">
      <c r="B56" s="216" t="n">
        <v>7</v>
      </c>
      <c r="C56" s="217" t="s">
        <v>407</v>
      </c>
      <c r="D56" s="216" t="s">
        <v>334</v>
      </c>
      <c r="E56" s="218" t="n">
        <v>36</v>
      </c>
      <c r="F56" s="219" t="n">
        <v>6</v>
      </c>
      <c r="G56" s="219" t="n">
        <v>6</v>
      </c>
      <c r="H56" s="219" t="n">
        <v>6</v>
      </c>
      <c r="I56" s="219" t="n">
        <v>6</v>
      </c>
      <c r="J56" s="219" t="n">
        <v>6</v>
      </c>
      <c r="K56" s="226" t="n">
        <f aca="false">SUM(E56:J56)</f>
        <v>66</v>
      </c>
      <c r="L56" s="228" t="n">
        <v>1.65</v>
      </c>
      <c r="M56" s="221" t="n">
        <f aca="false">K56*L56</f>
        <v>108.9</v>
      </c>
    </row>
    <row r="57" s="1" customFormat="true" ht="16.5" hidden="false" customHeight="true" outlineLevel="0" collapsed="false">
      <c r="B57" s="216" t="n">
        <v>8</v>
      </c>
      <c r="C57" s="217" t="s">
        <v>408</v>
      </c>
      <c r="D57" s="216" t="s">
        <v>334</v>
      </c>
      <c r="E57" s="218" t="n">
        <v>6</v>
      </c>
      <c r="F57" s="219" t="n">
        <v>2</v>
      </c>
      <c r="G57" s="219" t="n">
        <v>2</v>
      </c>
      <c r="H57" s="219" t="n">
        <v>2</v>
      </c>
      <c r="I57" s="219" t="n">
        <v>2</v>
      </c>
      <c r="J57" s="219" t="n">
        <v>2</v>
      </c>
      <c r="K57" s="226" t="n">
        <f aca="false">SUM(E57:J57)</f>
        <v>16</v>
      </c>
      <c r="L57" s="228" t="n">
        <v>7.56</v>
      </c>
      <c r="M57" s="221" t="n">
        <f aca="false">K57*L57</f>
        <v>120.96</v>
      </c>
    </row>
    <row r="58" s="1" customFormat="true" ht="16.5" hidden="false" customHeight="true" outlineLevel="0" collapsed="false">
      <c r="B58" s="216" t="n">
        <v>9</v>
      </c>
      <c r="C58" s="217" t="s">
        <v>409</v>
      </c>
      <c r="D58" s="216" t="s">
        <v>410</v>
      </c>
      <c r="E58" s="218" t="n">
        <v>300</v>
      </c>
      <c r="F58" s="219" t="n">
        <v>72</v>
      </c>
      <c r="G58" s="219" t="n">
        <v>24</v>
      </c>
      <c r="H58" s="219" t="n">
        <v>24</v>
      </c>
      <c r="I58" s="219" t="n">
        <v>24</v>
      </c>
      <c r="J58" s="219" t="n">
        <v>48</v>
      </c>
      <c r="K58" s="226" t="n">
        <f aca="false">SUM(E58:J58)</f>
        <v>492</v>
      </c>
      <c r="L58" s="228" t="n">
        <v>1.8</v>
      </c>
      <c r="M58" s="221" t="n">
        <f aca="false">K58*L58</f>
        <v>885.6</v>
      </c>
    </row>
    <row r="59" s="1" customFormat="true" ht="32.8" hidden="false" customHeight="false" outlineLevel="0" collapsed="false">
      <c r="B59" s="216" t="n">
        <v>10</v>
      </c>
      <c r="C59" s="217" t="s">
        <v>411</v>
      </c>
      <c r="D59" s="216" t="s">
        <v>334</v>
      </c>
      <c r="E59" s="218" t="n">
        <v>3</v>
      </c>
      <c r="F59" s="219" t="n">
        <v>2</v>
      </c>
      <c r="G59" s="219" t="n">
        <v>2</v>
      </c>
      <c r="H59" s="219" t="n">
        <v>1</v>
      </c>
      <c r="I59" s="219" t="n">
        <v>2</v>
      </c>
      <c r="J59" s="219" t="n">
        <v>2</v>
      </c>
      <c r="K59" s="226" t="n">
        <f aca="false">SUM(E59:J59)</f>
        <v>12</v>
      </c>
      <c r="L59" s="228" t="n">
        <v>79</v>
      </c>
      <c r="M59" s="221" t="n">
        <f aca="false">K59*L59</f>
        <v>948</v>
      </c>
    </row>
    <row r="60" s="1" customFormat="true" ht="16.5" hidden="false" customHeight="true" outlineLevel="0" collapsed="false">
      <c r="B60" s="216" t="n">
        <v>11</v>
      </c>
      <c r="C60" s="217" t="s">
        <v>412</v>
      </c>
      <c r="D60" s="216" t="s">
        <v>334</v>
      </c>
      <c r="E60" s="218" t="n">
        <v>12</v>
      </c>
      <c r="F60" s="219" t="n">
        <v>4</v>
      </c>
      <c r="G60" s="219" t="n">
        <v>2</v>
      </c>
      <c r="H60" s="219" t="n">
        <v>2</v>
      </c>
      <c r="I60" s="219" t="n">
        <v>3</v>
      </c>
      <c r="J60" s="219" t="n">
        <v>4</v>
      </c>
      <c r="K60" s="226" t="n">
        <f aca="false">SUM(E60:J60)</f>
        <v>27</v>
      </c>
      <c r="L60" s="228" t="n">
        <v>3</v>
      </c>
      <c r="M60" s="221" t="n">
        <f aca="false">K60*L60</f>
        <v>81</v>
      </c>
    </row>
    <row r="61" s="1" customFormat="true" ht="16.5" hidden="false" customHeight="true" outlineLevel="0" collapsed="false">
      <c r="B61" s="216" t="n">
        <v>12</v>
      </c>
      <c r="C61" s="217" t="s">
        <v>413</v>
      </c>
      <c r="D61" s="216" t="s">
        <v>334</v>
      </c>
      <c r="E61" s="218" t="n">
        <v>48</v>
      </c>
      <c r="F61" s="219" t="n">
        <v>8</v>
      </c>
      <c r="G61" s="219" t="n">
        <v>6</v>
      </c>
      <c r="H61" s="219" t="n">
        <v>6</v>
      </c>
      <c r="I61" s="219" t="n">
        <v>6</v>
      </c>
      <c r="J61" s="219" t="n">
        <v>8</v>
      </c>
      <c r="K61" s="226" t="n">
        <f aca="false">SUM(E61:J61)</f>
        <v>82</v>
      </c>
      <c r="L61" s="228" t="n">
        <v>4.95</v>
      </c>
      <c r="M61" s="221" t="n">
        <f aca="false">K61*L61</f>
        <v>405.9</v>
      </c>
    </row>
    <row r="62" s="1" customFormat="true" ht="16.5" hidden="false" customHeight="true" outlineLevel="0" collapsed="false">
      <c r="B62" s="216" t="n">
        <v>13</v>
      </c>
      <c r="C62" s="217" t="s">
        <v>414</v>
      </c>
      <c r="D62" s="216" t="s">
        <v>334</v>
      </c>
      <c r="E62" s="218" t="n">
        <v>12</v>
      </c>
      <c r="F62" s="219" t="n">
        <v>8</v>
      </c>
      <c r="G62" s="219" t="n">
        <v>6</v>
      </c>
      <c r="H62" s="219" t="n">
        <v>6</v>
      </c>
      <c r="I62" s="219" t="n">
        <v>6</v>
      </c>
      <c r="J62" s="219" t="n">
        <v>8</v>
      </c>
      <c r="K62" s="226" t="n">
        <f aca="false">SUM(E62:J62)</f>
        <v>46</v>
      </c>
      <c r="L62" s="228" t="n">
        <v>11.55</v>
      </c>
      <c r="M62" s="221" t="n">
        <f aca="false">K62*L62</f>
        <v>531.3</v>
      </c>
    </row>
    <row r="63" s="1" customFormat="true" ht="16.5" hidden="false" customHeight="true" outlineLevel="0" collapsed="false">
      <c r="B63" s="216" t="n">
        <v>14</v>
      </c>
      <c r="C63" s="217" t="s">
        <v>415</v>
      </c>
      <c r="D63" s="216" t="s">
        <v>334</v>
      </c>
      <c r="E63" s="218" t="n">
        <v>12</v>
      </c>
      <c r="F63" s="219" t="n">
        <v>2</v>
      </c>
      <c r="G63" s="219" t="n">
        <v>2</v>
      </c>
      <c r="H63" s="219" t="n">
        <v>2</v>
      </c>
      <c r="I63" s="219" t="n">
        <v>2</v>
      </c>
      <c r="J63" s="219" t="n">
        <v>2</v>
      </c>
      <c r="K63" s="226" t="n">
        <f aca="false">SUM(E63:J63)</f>
        <v>22</v>
      </c>
      <c r="L63" s="228" t="n">
        <v>7.85</v>
      </c>
      <c r="M63" s="221" t="n">
        <f aca="false">K63*L63</f>
        <v>172.7</v>
      </c>
    </row>
    <row r="64" s="1" customFormat="true" ht="16.5" hidden="false" customHeight="true" outlineLevel="0" collapsed="false">
      <c r="B64" s="216" t="n">
        <v>15</v>
      </c>
      <c r="C64" s="217" t="s">
        <v>416</v>
      </c>
      <c r="D64" s="216" t="s">
        <v>334</v>
      </c>
      <c r="E64" s="218" t="n">
        <v>36</v>
      </c>
      <c r="F64" s="219" t="n">
        <v>12</v>
      </c>
      <c r="G64" s="219" t="n">
        <v>9</v>
      </c>
      <c r="H64" s="219" t="n">
        <v>9</v>
      </c>
      <c r="I64" s="219" t="n">
        <v>9</v>
      </c>
      <c r="J64" s="219" t="n">
        <v>12</v>
      </c>
      <c r="K64" s="226" t="n">
        <f aca="false">SUM(E64:J64)</f>
        <v>87</v>
      </c>
      <c r="L64" s="228" t="n">
        <v>5</v>
      </c>
      <c r="M64" s="221" t="n">
        <f aca="false">K64*L64</f>
        <v>435</v>
      </c>
    </row>
    <row r="65" s="1" customFormat="true" ht="16.5" hidden="false" customHeight="true" outlineLevel="0" collapsed="false">
      <c r="B65" s="216" t="n">
        <v>16</v>
      </c>
      <c r="C65" s="217" t="s">
        <v>417</v>
      </c>
      <c r="D65" s="216" t="s">
        <v>334</v>
      </c>
      <c r="E65" s="218" t="n">
        <v>36</v>
      </c>
      <c r="F65" s="219" t="n">
        <v>6</v>
      </c>
      <c r="G65" s="219" t="n">
        <v>4</v>
      </c>
      <c r="H65" s="219" t="n">
        <v>4</v>
      </c>
      <c r="I65" s="219" t="n">
        <v>4</v>
      </c>
      <c r="J65" s="219" t="n">
        <v>6</v>
      </c>
      <c r="K65" s="226" t="n">
        <f aca="false">SUM(E65:J65)</f>
        <v>60</v>
      </c>
      <c r="L65" s="228" t="n">
        <v>7.95</v>
      </c>
      <c r="M65" s="221" t="n">
        <f aca="false">K65*L65</f>
        <v>477</v>
      </c>
    </row>
    <row r="66" s="1" customFormat="true" ht="16.5" hidden="false" customHeight="true" outlineLevel="0" collapsed="false">
      <c r="B66" s="216" t="n">
        <v>17</v>
      </c>
      <c r="C66" s="217" t="s">
        <v>418</v>
      </c>
      <c r="D66" s="216" t="s">
        <v>334</v>
      </c>
      <c r="E66" s="218" t="n">
        <v>4</v>
      </c>
      <c r="F66" s="219" t="n">
        <v>2</v>
      </c>
      <c r="G66" s="219" t="n">
        <v>1</v>
      </c>
      <c r="H66" s="219" t="n">
        <v>1</v>
      </c>
      <c r="I66" s="219" t="n">
        <v>1</v>
      </c>
      <c r="J66" s="219" t="n">
        <v>1</v>
      </c>
      <c r="K66" s="226" t="n">
        <f aca="false">SUM(E66:J66)</f>
        <v>10</v>
      </c>
      <c r="L66" s="228" t="n">
        <v>6.8</v>
      </c>
      <c r="M66" s="221" t="n">
        <f aca="false">K66*L66</f>
        <v>68</v>
      </c>
    </row>
    <row r="67" s="1" customFormat="true" ht="16.5" hidden="false" customHeight="true" outlineLevel="0" collapsed="false">
      <c r="B67" s="216" t="n">
        <v>18</v>
      </c>
      <c r="C67" s="217" t="s">
        <v>419</v>
      </c>
      <c r="D67" s="216" t="s">
        <v>334</v>
      </c>
      <c r="E67" s="218" t="n">
        <v>1</v>
      </c>
      <c r="F67" s="219" t="n">
        <v>1</v>
      </c>
      <c r="G67" s="219" t="n">
        <v>1</v>
      </c>
      <c r="H67" s="219" t="n">
        <v>1</v>
      </c>
      <c r="I67" s="219" t="n">
        <v>1</v>
      </c>
      <c r="J67" s="219" t="n">
        <v>1</v>
      </c>
      <c r="K67" s="226" t="n">
        <f aca="false">SUM(E67:J67)</f>
        <v>6</v>
      </c>
      <c r="L67" s="228" t="n">
        <v>139.9</v>
      </c>
      <c r="M67" s="221" t="n">
        <f aca="false">K67*L67</f>
        <v>839.4</v>
      </c>
    </row>
    <row r="68" s="1" customFormat="true" ht="16.5" hidden="false" customHeight="true" outlineLevel="0" collapsed="false">
      <c r="B68" s="216" t="n">
        <v>19</v>
      </c>
      <c r="C68" s="217" t="s">
        <v>420</v>
      </c>
      <c r="D68" s="216" t="s">
        <v>334</v>
      </c>
      <c r="E68" s="218" t="n">
        <v>1</v>
      </c>
      <c r="F68" s="219" t="n">
        <v>1</v>
      </c>
      <c r="G68" s="219" t="n">
        <v>1</v>
      </c>
      <c r="H68" s="219" t="n">
        <v>1</v>
      </c>
      <c r="I68" s="219" t="n">
        <v>1</v>
      </c>
      <c r="J68" s="219" t="n">
        <v>1</v>
      </c>
      <c r="K68" s="226" t="n">
        <f aca="false">SUM(E68:J68)</f>
        <v>6</v>
      </c>
      <c r="L68" s="228" t="n">
        <v>22.3</v>
      </c>
      <c r="M68" s="221" t="n">
        <f aca="false">K68*L68</f>
        <v>133.8</v>
      </c>
    </row>
    <row r="69" s="1" customFormat="true" ht="16.5" hidden="false" customHeight="true" outlineLevel="0" collapsed="false">
      <c r="B69" s="222" t="s">
        <v>421</v>
      </c>
      <c r="C69" s="222"/>
      <c r="D69" s="222"/>
      <c r="E69" s="222"/>
      <c r="F69" s="222"/>
      <c r="G69" s="222"/>
      <c r="H69" s="222"/>
      <c r="I69" s="222"/>
      <c r="J69" s="222"/>
      <c r="K69" s="222"/>
      <c r="L69" s="222"/>
      <c r="M69" s="221" t="n">
        <f aca="false">SUM(M50:M68)</f>
        <v>7974.07</v>
      </c>
    </row>
    <row r="70" s="1" customFormat="true" ht="16.5" hidden="false" customHeight="true" outlineLevel="0" collapsed="false">
      <c r="B70" s="222" t="s">
        <v>422</v>
      </c>
      <c r="C70" s="222"/>
      <c r="D70" s="222"/>
      <c r="E70" s="222"/>
      <c r="F70" s="222"/>
      <c r="G70" s="222"/>
      <c r="H70" s="222"/>
      <c r="I70" s="222"/>
      <c r="J70" s="222"/>
      <c r="K70" s="222"/>
      <c r="L70" s="222"/>
      <c r="M70" s="221" t="n">
        <f aca="false">M69/12</f>
        <v>664.505833333333</v>
      </c>
    </row>
    <row r="71" s="1" customFormat="true" ht="16.5" hidden="false" customHeight="true" outlineLevel="0" collapsed="false">
      <c r="B71" s="222" t="s">
        <v>395</v>
      </c>
      <c r="C71" s="222"/>
      <c r="D71" s="222"/>
      <c r="E71" s="222"/>
      <c r="F71" s="222"/>
      <c r="G71" s="222"/>
      <c r="H71" s="222"/>
      <c r="I71" s="222"/>
      <c r="J71" s="222"/>
      <c r="K71" s="222"/>
      <c r="L71" s="222"/>
      <c r="M71" s="226" t="n">
        <f aca="false">'QTDE-ESTIMADA-SERVENTES'!C118</f>
        <v>12</v>
      </c>
    </row>
    <row r="72" s="1" customFormat="true" ht="16.5" hidden="false" customHeight="true" outlineLevel="0" collapsed="false">
      <c r="B72" s="222" t="s">
        <v>423</v>
      </c>
      <c r="C72" s="222"/>
      <c r="D72" s="222"/>
      <c r="E72" s="222"/>
      <c r="F72" s="222"/>
      <c r="G72" s="222"/>
      <c r="H72" s="222"/>
      <c r="I72" s="222"/>
      <c r="J72" s="222"/>
      <c r="K72" s="222"/>
      <c r="L72" s="222"/>
      <c r="M72" s="221" t="n">
        <f aca="false">M70/M71</f>
        <v>55.3754861111111</v>
      </c>
    </row>
    <row r="73" s="1" customFormat="true" ht="16.5" hidden="false" customHeight="true" outlineLevel="0" collapsed="false">
      <c r="B73" s="223"/>
      <c r="C73" s="223"/>
      <c r="D73" s="223"/>
      <c r="E73" s="223"/>
      <c r="F73" s="223"/>
      <c r="G73" s="223"/>
      <c r="H73" s="223"/>
      <c r="I73" s="223"/>
      <c r="J73" s="223"/>
      <c r="K73" s="223"/>
      <c r="L73" s="224"/>
      <c r="M73" s="224"/>
    </row>
    <row r="74" s="1" customFormat="true" ht="16.5" hidden="false" customHeight="true" outlineLevel="0" collapsed="false">
      <c r="B74" s="223"/>
      <c r="C74" s="223"/>
      <c r="D74" s="223"/>
      <c r="E74" s="229"/>
      <c r="F74" s="223"/>
      <c r="G74" s="223"/>
      <c r="H74" s="223"/>
      <c r="I74" s="223"/>
      <c r="J74" s="223"/>
      <c r="K74" s="223"/>
      <c r="L74" s="224"/>
      <c r="M74" s="224"/>
    </row>
    <row r="75" s="1" customFormat="true" ht="30.65" hidden="false" customHeight="true" outlineLevel="0" collapsed="false">
      <c r="B75" s="214" t="s">
        <v>424</v>
      </c>
      <c r="C75" s="214"/>
      <c r="D75" s="214"/>
      <c r="E75" s="214"/>
      <c r="F75" s="214"/>
      <c r="G75" s="214"/>
      <c r="H75" s="214"/>
      <c r="I75" s="214"/>
      <c r="J75" s="214"/>
      <c r="K75" s="214"/>
      <c r="L75" s="214"/>
      <c r="M75" s="214"/>
    </row>
    <row r="76" s="1" customFormat="true" ht="31.45" hidden="false" customHeight="true" outlineLevel="0" collapsed="false">
      <c r="B76" s="214" t="s">
        <v>325</v>
      </c>
      <c r="C76" s="214" t="s">
        <v>124</v>
      </c>
      <c r="D76" s="214" t="s">
        <v>327</v>
      </c>
      <c r="E76" s="214" t="s">
        <v>425</v>
      </c>
      <c r="F76" s="214"/>
      <c r="G76" s="214"/>
      <c r="H76" s="214"/>
      <c r="I76" s="214"/>
      <c r="J76" s="214"/>
      <c r="K76" s="214" t="s">
        <v>347</v>
      </c>
      <c r="L76" s="214" t="s">
        <v>426</v>
      </c>
      <c r="M76" s="214" t="s">
        <v>400</v>
      </c>
    </row>
    <row r="77" s="1" customFormat="true" ht="30.65" hidden="false" customHeight="true" outlineLevel="0" collapsed="false">
      <c r="B77" s="214"/>
      <c r="C77" s="214"/>
      <c r="D77" s="214"/>
      <c r="E77" s="214" t="s">
        <v>350</v>
      </c>
      <c r="F77" s="214" t="s">
        <v>102</v>
      </c>
      <c r="G77" s="214" t="s">
        <v>103</v>
      </c>
      <c r="H77" s="214" t="s">
        <v>104</v>
      </c>
      <c r="I77" s="214" t="s">
        <v>105</v>
      </c>
      <c r="J77" s="214" t="s">
        <v>106</v>
      </c>
      <c r="K77" s="214"/>
      <c r="L77" s="214"/>
      <c r="M77" s="214"/>
    </row>
    <row r="78" s="1" customFormat="true" ht="30.65" hidden="false" customHeight="true" outlineLevel="0" collapsed="false">
      <c r="B78" s="214"/>
      <c r="C78" s="214"/>
      <c r="D78" s="214"/>
      <c r="E78" s="214" t="s">
        <v>133</v>
      </c>
      <c r="F78" s="214" t="s">
        <v>134</v>
      </c>
      <c r="G78" s="214" t="s">
        <v>135</v>
      </c>
      <c r="H78" s="214" t="s">
        <v>136</v>
      </c>
      <c r="I78" s="214" t="s">
        <v>137</v>
      </c>
      <c r="J78" s="214" t="s">
        <v>138</v>
      </c>
      <c r="K78" s="214" t="s">
        <v>139</v>
      </c>
      <c r="L78" s="214" t="s">
        <v>140</v>
      </c>
      <c r="M78" s="214" t="s">
        <v>141</v>
      </c>
    </row>
    <row r="79" s="1" customFormat="true" ht="34.25" hidden="false" customHeight="true" outlineLevel="0" collapsed="false">
      <c r="B79" s="216" t="n">
        <v>1</v>
      </c>
      <c r="C79" s="217" t="s">
        <v>427</v>
      </c>
      <c r="D79" s="216" t="s">
        <v>334</v>
      </c>
      <c r="E79" s="218" t="n">
        <v>1</v>
      </c>
      <c r="F79" s="219" t="n">
        <v>1</v>
      </c>
      <c r="G79" s="219" t="n">
        <v>1</v>
      </c>
      <c r="H79" s="219" t="n">
        <v>1</v>
      </c>
      <c r="I79" s="219" t="n">
        <v>1</v>
      </c>
      <c r="J79" s="219" t="n">
        <v>1</v>
      </c>
      <c r="K79" s="226" t="n">
        <f aca="false">SUM(E79:J79)</f>
        <v>6</v>
      </c>
      <c r="L79" s="228" t="n">
        <v>335.97</v>
      </c>
      <c r="M79" s="221" t="n">
        <f aca="false">K79*L79</f>
        <v>2015.82</v>
      </c>
    </row>
    <row r="80" s="1" customFormat="true" ht="19.3" hidden="false" customHeight="true" outlineLevel="0" collapsed="false">
      <c r="B80" s="216" t="n">
        <v>2</v>
      </c>
      <c r="C80" s="217" t="s">
        <v>428</v>
      </c>
      <c r="D80" s="216" t="s">
        <v>334</v>
      </c>
      <c r="E80" s="218" t="n">
        <v>1</v>
      </c>
      <c r="F80" s="219" t="n">
        <v>1</v>
      </c>
      <c r="G80" s="219" t="n">
        <v>1</v>
      </c>
      <c r="H80" s="219" t="n">
        <v>1</v>
      </c>
      <c r="I80" s="219" t="n">
        <v>1</v>
      </c>
      <c r="J80" s="219" t="n">
        <v>1</v>
      </c>
      <c r="K80" s="226" t="n">
        <f aca="false">SUM(E80:J80)</f>
        <v>6</v>
      </c>
      <c r="L80" s="228" t="n">
        <v>1290</v>
      </c>
      <c r="M80" s="221" t="n">
        <f aca="false">K80*L80</f>
        <v>7740</v>
      </c>
    </row>
    <row r="81" s="1" customFormat="true" ht="17.15" hidden="false" customHeight="false" outlineLevel="0" collapsed="false">
      <c r="B81" s="216" t="n">
        <v>3</v>
      </c>
      <c r="C81" s="217" t="s">
        <v>429</v>
      </c>
      <c r="D81" s="216" t="s">
        <v>334</v>
      </c>
      <c r="E81" s="218" t="n">
        <v>2</v>
      </c>
      <c r="F81" s="219" t="n">
        <v>1</v>
      </c>
      <c r="G81" s="219" t="n">
        <v>1</v>
      </c>
      <c r="H81" s="219" t="n">
        <v>1</v>
      </c>
      <c r="I81" s="219" t="n">
        <v>1</v>
      </c>
      <c r="J81" s="219" t="n">
        <v>1</v>
      </c>
      <c r="K81" s="226" t="n">
        <f aca="false">SUM(E81:J81)</f>
        <v>7</v>
      </c>
      <c r="L81" s="228" t="n">
        <v>199</v>
      </c>
      <c r="M81" s="221" t="n">
        <f aca="false">K81*L81</f>
        <v>1393</v>
      </c>
    </row>
    <row r="82" s="1" customFormat="true" ht="19.3" hidden="false" customHeight="true" outlineLevel="0" collapsed="false">
      <c r="B82" s="216" t="n">
        <v>4</v>
      </c>
      <c r="C82" s="217" t="s">
        <v>430</v>
      </c>
      <c r="D82" s="216" t="s">
        <v>334</v>
      </c>
      <c r="E82" s="218" t="n">
        <v>8</v>
      </c>
      <c r="F82" s="219" t="n">
        <v>4</v>
      </c>
      <c r="G82" s="219" t="n">
        <v>2</v>
      </c>
      <c r="H82" s="219" t="n">
        <v>2</v>
      </c>
      <c r="I82" s="219" t="n">
        <v>2</v>
      </c>
      <c r="J82" s="219" t="n">
        <v>4</v>
      </c>
      <c r="K82" s="226" t="n">
        <f aca="false">SUM(E82:J82)</f>
        <v>22</v>
      </c>
      <c r="L82" s="228" t="n">
        <v>29.9</v>
      </c>
      <c r="M82" s="221" t="n">
        <f aca="false">K82*L82</f>
        <v>657.8</v>
      </c>
    </row>
    <row r="83" s="1" customFormat="true" ht="19.3" hidden="false" customHeight="true" outlineLevel="0" collapsed="false">
      <c r="B83" s="216" t="n">
        <v>5</v>
      </c>
      <c r="C83" s="217" t="s">
        <v>431</v>
      </c>
      <c r="D83" s="216" t="s">
        <v>334</v>
      </c>
      <c r="E83" s="218" t="n">
        <v>1</v>
      </c>
      <c r="F83" s="219" t="n">
        <v>1</v>
      </c>
      <c r="G83" s="219" t="n">
        <v>1</v>
      </c>
      <c r="H83" s="219" t="n">
        <v>1</v>
      </c>
      <c r="I83" s="219" t="n">
        <v>1</v>
      </c>
      <c r="J83" s="219" t="n">
        <v>1</v>
      </c>
      <c r="K83" s="226" t="n">
        <f aca="false">SUM(E83:J83)</f>
        <v>6</v>
      </c>
      <c r="L83" s="228" t="n">
        <v>659</v>
      </c>
      <c r="M83" s="221" t="n">
        <f aca="false">K83*L83</f>
        <v>3954</v>
      </c>
    </row>
    <row r="84" s="1" customFormat="true" ht="19.3" hidden="false" customHeight="true" outlineLevel="0" collapsed="false">
      <c r="B84" s="216" t="n">
        <v>6</v>
      </c>
      <c r="C84" s="217" t="s">
        <v>432</v>
      </c>
      <c r="D84" s="216" t="s">
        <v>334</v>
      </c>
      <c r="E84" s="218" t="n">
        <v>1</v>
      </c>
      <c r="F84" s="219" t="n">
        <v>0</v>
      </c>
      <c r="G84" s="219" t="n">
        <v>1</v>
      </c>
      <c r="H84" s="219" t="n">
        <v>1</v>
      </c>
      <c r="I84" s="219" t="n">
        <v>1</v>
      </c>
      <c r="J84" s="219" t="n">
        <v>0</v>
      </c>
      <c r="K84" s="226" t="n">
        <f aca="false">SUM(E84:J84)</f>
        <v>4</v>
      </c>
      <c r="L84" s="228" t="n">
        <v>233</v>
      </c>
      <c r="M84" s="221" t="n">
        <f aca="false">K84*L84</f>
        <v>932</v>
      </c>
    </row>
    <row r="85" s="1" customFormat="true" ht="19.3" hidden="false" customHeight="true" outlineLevel="0" collapsed="false">
      <c r="B85" s="216" t="n">
        <v>7</v>
      </c>
      <c r="C85" s="217" t="s">
        <v>433</v>
      </c>
      <c r="D85" s="216" t="s">
        <v>334</v>
      </c>
      <c r="E85" s="218" t="n">
        <v>1</v>
      </c>
      <c r="F85" s="219" t="n">
        <v>0</v>
      </c>
      <c r="G85" s="219" t="n">
        <v>1</v>
      </c>
      <c r="H85" s="219" t="n">
        <v>1</v>
      </c>
      <c r="I85" s="219" t="n">
        <v>1</v>
      </c>
      <c r="J85" s="219" t="n">
        <v>0</v>
      </c>
      <c r="K85" s="226" t="n">
        <f aca="false">SUM(E85:J85)</f>
        <v>4</v>
      </c>
      <c r="L85" s="228" t="n">
        <v>16.9</v>
      </c>
      <c r="M85" s="221" t="n">
        <f aca="false">K85*L85</f>
        <v>67.6</v>
      </c>
    </row>
    <row r="86" s="1" customFormat="true" ht="19.3" hidden="false" customHeight="true" outlineLevel="0" collapsed="false">
      <c r="B86" s="216" t="n">
        <v>8</v>
      </c>
      <c r="C86" s="217" t="s">
        <v>434</v>
      </c>
      <c r="D86" s="216" t="s">
        <v>334</v>
      </c>
      <c r="E86" s="218" t="n">
        <v>1</v>
      </c>
      <c r="F86" s="219" t="n">
        <v>0</v>
      </c>
      <c r="G86" s="219" t="n">
        <v>1</v>
      </c>
      <c r="H86" s="219" t="n">
        <v>1</v>
      </c>
      <c r="I86" s="219" t="n">
        <v>1</v>
      </c>
      <c r="J86" s="219" t="n">
        <v>0</v>
      </c>
      <c r="K86" s="226" t="n">
        <f aca="false">SUM(E86:J86)</f>
        <v>4</v>
      </c>
      <c r="L86" s="228" t="n">
        <v>25.9</v>
      </c>
      <c r="M86" s="221" t="n">
        <f aca="false">K86*L86</f>
        <v>103.6</v>
      </c>
    </row>
    <row r="87" s="1" customFormat="true" ht="19.3" hidden="false" customHeight="true" outlineLevel="0" collapsed="false">
      <c r="B87" s="216" t="n">
        <v>9</v>
      </c>
      <c r="C87" s="217" t="s">
        <v>435</v>
      </c>
      <c r="D87" s="216" t="s">
        <v>334</v>
      </c>
      <c r="E87" s="218" t="n">
        <v>1</v>
      </c>
      <c r="F87" s="219" t="n">
        <v>0</v>
      </c>
      <c r="G87" s="219" t="n">
        <v>1</v>
      </c>
      <c r="H87" s="219" t="n">
        <v>1</v>
      </c>
      <c r="I87" s="219" t="n">
        <v>1</v>
      </c>
      <c r="J87" s="219" t="n">
        <v>0</v>
      </c>
      <c r="K87" s="226" t="n">
        <f aca="false">SUM(E87:J87)</f>
        <v>4</v>
      </c>
      <c r="L87" s="228" t="n">
        <v>7.96</v>
      </c>
      <c r="M87" s="221" t="n">
        <f aca="false">K87*L87</f>
        <v>31.84</v>
      </c>
    </row>
    <row r="88" s="1" customFormat="true" ht="19.3" hidden="false" customHeight="true" outlineLevel="0" collapsed="false">
      <c r="B88" s="216" t="n">
        <v>10</v>
      </c>
      <c r="C88" s="217" t="s">
        <v>436</v>
      </c>
      <c r="D88" s="216" t="s">
        <v>334</v>
      </c>
      <c r="E88" s="218" t="n">
        <v>1</v>
      </c>
      <c r="F88" s="219" t="n">
        <v>0</v>
      </c>
      <c r="G88" s="219" t="n">
        <v>1</v>
      </c>
      <c r="H88" s="219" t="n">
        <v>1</v>
      </c>
      <c r="I88" s="219" t="n">
        <v>1</v>
      </c>
      <c r="J88" s="219" t="n">
        <v>0</v>
      </c>
      <c r="K88" s="226" t="n">
        <f aca="false">SUM(E88:J88)</f>
        <v>4</v>
      </c>
      <c r="L88" s="228" t="n">
        <v>16</v>
      </c>
      <c r="M88" s="221" t="n">
        <f aca="false">K88*L88</f>
        <v>64</v>
      </c>
    </row>
    <row r="89" s="1" customFormat="true" ht="19.3" hidden="false" customHeight="true" outlineLevel="0" collapsed="false">
      <c r="B89" s="216" t="n">
        <v>11</v>
      </c>
      <c r="C89" s="217" t="s">
        <v>437</v>
      </c>
      <c r="D89" s="216" t="s">
        <v>334</v>
      </c>
      <c r="E89" s="218" t="n">
        <v>2</v>
      </c>
      <c r="F89" s="219" t="n">
        <v>1</v>
      </c>
      <c r="G89" s="219" t="n">
        <v>1</v>
      </c>
      <c r="H89" s="219" t="n">
        <v>1</v>
      </c>
      <c r="I89" s="219" t="n">
        <v>1</v>
      </c>
      <c r="J89" s="219" t="n">
        <v>1</v>
      </c>
      <c r="K89" s="226" t="n">
        <f aca="false">SUM(E89:J89)</f>
        <v>7</v>
      </c>
      <c r="L89" s="228" t="n">
        <v>485</v>
      </c>
      <c r="M89" s="221" t="n">
        <f aca="false">K89*L89</f>
        <v>3395</v>
      </c>
    </row>
    <row r="90" s="1" customFormat="true" ht="19.3" hidden="false" customHeight="true" outlineLevel="0" collapsed="false">
      <c r="B90" s="222" t="s">
        <v>438</v>
      </c>
      <c r="C90" s="222"/>
      <c r="D90" s="222"/>
      <c r="E90" s="222"/>
      <c r="F90" s="222"/>
      <c r="G90" s="222"/>
      <c r="H90" s="222"/>
      <c r="I90" s="222"/>
      <c r="J90" s="222"/>
      <c r="K90" s="222"/>
      <c r="L90" s="222"/>
      <c r="M90" s="221" t="n">
        <f aca="false">SUM(M79:M89)</f>
        <v>20354.66</v>
      </c>
    </row>
    <row r="91" s="1" customFormat="true" ht="19.3" hidden="false" customHeight="true" outlineLevel="0" collapsed="false">
      <c r="B91" s="222" t="s">
        <v>439</v>
      </c>
      <c r="C91" s="222"/>
      <c r="D91" s="222"/>
      <c r="E91" s="222"/>
      <c r="F91" s="222"/>
      <c r="G91" s="222"/>
      <c r="H91" s="222"/>
      <c r="I91" s="222"/>
      <c r="J91" s="222"/>
      <c r="K91" s="222"/>
      <c r="L91" s="222"/>
      <c r="M91" s="221" t="n">
        <f aca="false">M90*0.8</f>
        <v>16283.728</v>
      </c>
    </row>
    <row r="92" s="1" customFormat="true" ht="19.3" hidden="false" customHeight="true" outlineLevel="0" collapsed="false">
      <c r="B92" s="222" t="s">
        <v>440</v>
      </c>
      <c r="C92" s="222"/>
      <c r="D92" s="222"/>
      <c r="E92" s="222"/>
      <c r="F92" s="222"/>
      <c r="G92" s="222"/>
      <c r="H92" s="222"/>
      <c r="I92" s="222"/>
      <c r="J92" s="222"/>
      <c r="K92" s="222"/>
      <c r="L92" s="222"/>
      <c r="M92" s="221" t="n">
        <f aca="false">M91/(12*5)</f>
        <v>271.395466666667</v>
      </c>
    </row>
    <row r="93" s="1" customFormat="true" ht="19.3" hidden="false" customHeight="true" outlineLevel="0" collapsed="false">
      <c r="B93" s="222" t="s">
        <v>441</v>
      </c>
      <c r="C93" s="222"/>
      <c r="D93" s="222"/>
      <c r="E93" s="222"/>
      <c r="F93" s="222"/>
      <c r="G93" s="222"/>
      <c r="H93" s="222"/>
      <c r="I93" s="222"/>
      <c r="J93" s="222"/>
      <c r="K93" s="222"/>
      <c r="L93" s="222"/>
      <c r="M93" s="226" t="n">
        <f aca="false">'QTDE-ESTIMADA-SERVENTES'!C118</f>
        <v>12</v>
      </c>
    </row>
    <row r="94" s="1" customFormat="true" ht="19.3" hidden="false" customHeight="true" outlineLevel="0" collapsed="false">
      <c r="B94" s="222" t="s">
        <v>442</v>
      </c>
      <c r="C94" s="222"/>
      <c r="D94" s="222"/>
      <c r="E94" s="222"/>
      <c r="F94" s="222"/>
      <c r="G94" s="222"/>
      <c r="H94" s="222"/>
      <c r="I94" s="222"/>
      <c r="J94" s="222"/>
      <c r="K94" s="222"/>
      <c r="L94" s="222"/>
      <c r="M94" s="221" t="n">
        <f aca="false">M92/M93</f>
        <v>22.6162888888889</v>
      </c>
    </row>
    <row r="95" s="1" customFormat="true" ht="16.5" hidden="false" customHeight="true" outlineLevel="0" collapsed="false">
      <c r="B95" s="223"/>
      <c r="C95" s="223"/>
      <c r="D95" s="223"/>
      <c r="E95" s="223"/>
      <c r="F95" s="223"/>
      <c r="G95" s="223"/>
      <c r="H95" s="223"/>
      <c r="I95" s="223"/>
      <c r="J95" s="223"/>
      <c r="K95" s="223"/>
      <c r="L95" s="224"/>
      <c r="M95" s="224"/>
    </row>
    <row r="96" s="1" customFormat="true" ht="16.5" hidden="false" customHeight="true" outlineLevel="0" collapsed="false">
      <c r="B96" s="223"/>
      <c r="C96" s="223"/>
      <c r="D96" s="223"/>
      <c r="E96" s="223"/>
      <c r="F96" s="223"/>
      <c r="G96" s="223"/>
      <c r="H96" s="223"/>
      <c r="I96" s="223"/>
      <c r="J96" s="223"/>
      <c r="K96" s="223"/>
      <c r="L96" s="224"/>
      <c r="M96" s="224"/>
    </row>
    <row r="97" s="1" customFormat="true" ht="16.5" hidden="false" customHeight="true" outlineLevel="0" collapsed="false">
      <c r="B97" s="214" t="s">
        <v>157</v>
      </c>
      <c r="C97" s="214"/>
      <c r="D97" s="214"/>
      <c r="E97" s="214"/>
      <c r="F97" s="214"/>
      <c r="G97" s="214"/>
      <c r="H97" s="214"/>
      <c r="I97" s="214"/>
      <c r="J97" s="214"/>
      <c r="K97" s="214"/>
      <c r="L97" s="214"/>
      <c r="M97" s="214"/>
    </row>
    <row r="98" s="1" customFormat="true" ht="16.5" hidden="false" customHeight="true" outlineLevel="0" collapsed="false">
      <c r="B98" s="93" t="s">
        <v>341</v>
      </c>
      <c r="C98" s="93"/>
      <c r="D98" s="93"/>
      <c r="E98" s="93"/>
      <c r="F98" s="93"/>
      <c r="G98" s="93"/>
      <c r="H98" s="93"/>
      <c r="I98" s="93"/>
      <c r="J98" s="93"/>
      <c r="K98" s="93"/>
      <c r="L98" s="93"/>
      <c r="M98" s="93"/>
    </row>
    <row r="99" s="1" customFormat="true" ht="16.5" hidden="false" customHeight="true" outlineLevel="0" collapsed="false">
      <c r="B99" s="94" t="s">
        <v>342</v>
      </c>
      <c r="C99" s="94"/>
      <c r="D99" s="94"/>
      <c r="E99" s="94"/>
      <c r="F99" s="94"/>
      <c r="G99" s="94"/>
      <c r="H99" s="94"/>
      <c r="I99" s="94"/>
      <c r="J99" s="94"/>
      <c r="K99" s="94"/>
      <c r="L99" s="94"/>
      <c r="M99" s="94"/>
    </row>
    <row r="100" s="1" customFormat="true" ht="16.5" hidden="false" customHeight="true" outlineLevel="0" collapsed="false">
      <c r="B100" s="94"/>
      <c r="C100" s="94"/>
      <c r="D100" s="94"/>
      <c r="E100" s="94"/>
      <c r="F100" s="94"/>
      <c r="G100" s="94"/>
      <c r="H100" s="94"/>
      <c r="I100" s="94"/>
      <c r="J100" s="94"/>
      <c r="K100" s="94"/>
      <c r="L100" s="94"/>
      <c r="M100" s="94"/>
    </row>
    <row r="101" s="1" customFormat="true" ht="16.5" hidden="false" customHeight="true" outlineLevel="0" collapsed="false">
      <c r="B101" s="95" t="s">
        <v>343</v>
      </c>
      <c r="C101" s="95"/>
      <c r="D101" s="95"/>
      <c r="E101" s="95"/>
      <c r="F101" s="95"/>
      <c r="G101" s="95"/>
      <c r="H101" s="95"/>
      <c r="I101" s="95"/>
      <c r="J101" s="95"/>
      <c r="K101" s="95"/>
      <c r="L101" s="95"/>
      <c r="M101" s="95"/>
    </row>
    <row r="102" s="1" customFormat="true" ht="16.5" hidden="false" customHeight="true" outlineLevel="0" collapsed="false">
      <c r="B102" s="95"/>
      <c r="C102" s="95"/>
      <c r="D102" s="95"/>
      <c r="E102" s="95"/>
      <c r="F102" s="95"/>
      <c r="G102" s="95"/>
      <c r="H102" s="95"/>
      <c r="I102" s="95"/>
      <c r="J102" s="95"/>
      <c r="K102" s="95"/>
      <c r="L102" s="95"/>
      <c r="M102" s="95"/>
    </row>
    <row r="103" s="1" customFormat="true" ht="16.5" hidden="false" customHeight="true" outlineLevel="0" collapsed="false">
      <c r="B103" s="94" t="s">
        <v>344</v>
      </c>
      <c r="C103" s="94"/>
      <c r="D103" s="94"/>
      <c r="E103" s="94"/>
      <c r="F103" s="94"/>
      <c r="G103" s="94"/>
      <c r="H103" s="94"/>
      <c r="I103" s="94"/>
      <c r="J103" s="94"/>
      <c r="K103" s="94"/>
      <c r="L103" s="94"/>
      <c r="M103" s="94"/>
    </row>
    <row r="104" s="1" customFormat="true" ht="16.5" hidden="false" customHeight="true" outlineLevel="0" collapsed="false">
      <c r="B104" s="94"/>
      <c r="C104" s="94"/>
      <c r="D104" s="94"/>
      <c r="E104" s="94"/>
      <c r="F104" s="94"/>
      <c r="G104" s="94"/>
      <c r="H104" s="94"/>
      <c r="I104" s="94"/>
      <c r="J104" s="94"/>
      <c r="K104" s="94"/>
      <c r="L104" s="94"/>
      <c r="M104" s="94"/>
    </row>
    <row r="105" s="1" customFormat="true" ht="16.5" hidden="false" customHeight="true" outlineLevel="0" collapsed="false">
      <c r="B105" s="3"/>
      <c r="C105" s="213"/>
      <c r="D105" s="3"/>
      <c r="E105" s="3"/>
      <c r="F105" s="3"/>
      <c r="G105" s="3"/>
    </row>
    <row r="106" customFormat="false" ht="12.8" hidden="false" customHeight="false" outlineLevel="0" collapsed="false">
      <c r="G106" s="225"/>
    </row>
    <row r="109" customFormat="false" ht="12.8" hidden="false" customHeight="false" outlineLevel="0" collapsed="false">
      <c r="H109" s="225"/>
    </row>
  </sheetData>
  <mergeCells count="44">
    <mergeCell ref="B1:M1"/>
    <mergeCell ref="B2:E2"/>
    <mergeCell ref="H2:K2"/>
    <mergeCell ref="B5:M5"/>
    <mergeCell ref="B6:B8"/>
    <mergeCell ref="C6:C8"/>
    <mergeCell ref="D6:D8"/>
    <mergeCell ref="E6:J6"/>
    <mergeCell ref="K6:K7"/>
    <mergeCell ref="L6:L7"/>
    <mergeCell ref="M6:M7"/>
    <mergeCell ref="B41:L41"/>
    <mergeCell ref="B42:L42"/>
    <mergeCell ref="B43:L43"/>
    <mergeCell ref="B46:M46"/>
    <mergeCell ref="B47:B49"/>
    <mergeCell ref="C47:C49"/>
    <mergeCell ref="D47:D49"/>
    <mergeCell ref="E47:J47"/>
    <mergeCell ref="K47:K48"/>
    <mergeCell ref="L47:L48"/>
    <mergeCell ref="M47:M48"/>
    <mergeCell ref="B69:L69"/>
    <mergeCell ref="B70:L70"/>
    <mergeCell ref="B71:L71"/>
    <mergeCell ref="B72:L72"/>
    <mergeCell ref="B75:M75"/>
    <mergeCell ref="B76:B78"/>
    <mergeCell ref="C76:C78"/>
    <mergeCell ref="D76:D78"/>
    <mergeCell ref="E76:J76"/>
    <mergeCell ref="K76:K77"/>
    <mergeCell ref="L76:L77"/>
    <mergeCell ref="M76:M77"/>
    <mergeCell ref="B90:L90"/>
    <mergeCell ref="B91:L91"/>
    <mergeCell ref="B92:L92"/>
    <mergeCell ref="B93:L93"/>
    <mergeCell ref="B94:L94"/>
    <mergeCell ref="B97:M97"/>
    <mergeCell ref="B98:M98"/>
    <mergeCell ref="B99:M100"/>
    <mergeCell ref="B101:M102"/>
    <mergeCell ref="B103:M104"/>
  </mergeCells>
  <printOptions headings="false" gridLines="false" gridLinesSet="true" horizontalCentered="false" verticalCentered="false"/>
  <pageMargins left="0.170138888888889" right="0.170138888888889" top="0.329861111111111" bottom="0.170138888888889" header="0.511805555555555" footer="0.511805555555555"/>
  <pageSetup paperSize="9" scale="59"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MJ104857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J10" activeCellId="0" sqref="J10"/>
    </sheetView>
  </sheetViews>
  <sheetFormatPr defaultRowHeight="13.8" zeroHeight="false" outlineLevelRow="0" outlineLevelCol="0"/>
  <cols>
    <col collapsed="false" customWidth="true" hidden="false" outlineLevel="0" max="1" min="1" style="1" width="2.71"/>
    <col collapsed="false" customWidth="true" hidden="false" outlineLevel="0" max="2" min="2" style="1" width="16.67"/>
    <col collapsed="false" customWidth="true" hidden="false" outlineLevel="0" max="3" min="3" style="1" width="15.8"/>
    <col collapsed="false" customWidth="true" hidden="false" outlineLevel="0" max="4" min="4" style="1" width="11.86"/>
    <col collapsed="false" customWidth="false" hidden="false" outlineLevel="0" max="5" min="5" style="1" width="11.57"/>
    <col collapsed="false" customWidth="true" hidden="false" outlineLevel="0" max="6" min="6" style="1" width="12.14"/>
    <col collapsed="false" customWidth="true" hidden="false" outlineLevel="0" max="9" min="7" style="1" width="13.02"/>
    <col collapsed="false" customWidth="true" hidden="false" outlineLevel="0" max="16" min="10" style="1" width="12.57"/>
    <col collapsed="false" customWidth="true" hidden="false" outlineLevel="0" max="1022" min="17" style="1" width="9.13"/>
    <col collapsed="false" customWidth="false" hidden="false" outlineLevel="0" max="1025" min="1023" style="0" width="11.52"/>
  </cols>
  <sheetData>
    <row r="1" customFormat="false" ht="20.25" hidden="false" customHeight="true" outlineLevel="0" collapsed="false">
      <c r="B1" s="80"/>
      <c r="C1" s="80"/>
      <c r="D1" s="80"/>
      <c r="E1" s="80"/>
      <c r="F1" s="80"/>
      <c r="G1" s="80"/>
      <c r="H1" s="80"/>
      <c r="I1" s="80"/>
      <c r="J1" s="80"/>
      <c r="K1" s="80"/>
      <c r="L1" s="80"/>
      <c r="M1" s="80"/>
      <c r="N1" s="80"/>
      <c r="O1" s="80"/>
      <c r="P1" s="80"/>
    </row>
    <row r="2" customFormat="false" ht="25.35" hidden="false" customHeight="true" outlineLevel="0" collapsed="false">
      <c r="B2" s="80" t="s">
        <v>118</v>
      </c>
      <c r="C2" s="80"/>
      <c r="D2" s="80"/>
      <c r="E2" s="80"/>
      <c r="F2" s="80"/>
      <c r="G2" s="80"/>
      <c r="H2" s="80"/>
      <c r="I2" s="80"/>
      <c r="J2" s="80"/>
      <c r="K2" s="80"/>
      <c r="L2" s="80"/>
      <c r="M2" s="80"/>
      <c r="N2" s="80"/>
      <c r="O2" s="80"/>
      <c r="P2" s="80"/>
    </row>
    <row r="3" customFormat="false" ht="22.05" hidden="false" customHeight="false" outlineLevel="0" collapsed="false">
      <c r="B3" s="80"/>
      <c r="C3" s="80"/>
      <c r="D3" s="80"/>
      <c r="E3" s="80"/>
      <c r="F3" s="80"/>
      <c r="G3" s="80"/>
      <c r="H3" s="80"/>
      <c r="I3" s="80"/>
      <c r="J3" s="80"/>
      <c r="K3" s="80"/>
      <c r="L3" s="80"/>
      <c r="M3" s="80"/>
      <c r="N3" s="80"/>
      <c r="O3" s="80"/>
      <c r="P3" s="80"/>
    </row>
    <row r="4" s="3" customFormat="true" ht="23.4" hidden="false" customHeight="true" outlineLevel="0" collapsed="false">
      <c r="B4" s="81" t="s">
        <v>119</v>
      </c>
      <c r="C4" s="81"/>
      <c r="D4" s="81"/>
      <c r="E4" s="81"/>
      <c r="F4" s="81"/>
      <c r="G4" s="81"/>
      <c r="H4" s="81"/>
      <c r="I4" s="81"/>
      <c r="J4" s="81"/>
      <c r="K4" s="81"/>
      <c r="L4" s="81"/>
      <c r="M4" s="81"/>
      <c r="N4" s="81"/>
      <c r="O4" s="81"/>
      <c r="P4" s="82" t="s">
        <v>120</v>
      </c>
      <c r="AMI4" s="0"/>
      <c r="AMJ4" s="0"/>
    </row>
    <row r="5" s="3" customFormat="true" ht="39.25" hidden="false" customHeight="true" outlineLevel="0" collapsed="false">
      <c r="B5" s="83" t="s">
        <v>121</v>
      </c>
      <c r="C5" s="83"/>
      <c r="D5" s="83"/>
      <c r="E5" s="83"/>
      <c r="F5" s="83"/>
      <c r="G5" s="83"/>
      <c r="H5" s="83"/>
      <c r="I5" s="83"/>
      <c r="J5" s="83" t="s">
        <v>122</v>
      </c>
      <c r="K5" s="83"/>
      <c r="L5" s="83"/>
      <c r="M5" s="83"/>
      <c r="N5" s="83"/>
      <c r="O5" s="83"/>
      <c r="P5" s="83"/>
      <c r="AMI5" s="0"/>
      <c r="AMJ5" s="0"/>
    </row>
    <row r="6" s="3" customFormat="true" ht="21.3" hidden="false" customHeight="true" outlineLevel="0" collapsed="false">
      <c r="B6" s="47" t="s">
        <v>123</v>
      </c>
      <c r="C6" s="47" t="s">
        <v>124</v>
      </c>
      <c r="D6" s="83" t="s">
        <v>125</v>
      </c>
      <c r="E6" s="83" t="s">
        <v>102</v>
      </c>
      <c r="F6" s="83" t="s">
        <v>103</v>
      </c>
      <c r="G6" s="83" t="s">
        <v>104</v>
      </c>
      <c r="H6" s="83" t="s">
        <v>105</v>
      </c>
      <c r="I6" s="83" t="s">
        <v>106</v>
      </c>
      <c r="J6" s="83" t="s">
        <v>126</v>
      </c>
      <c r="K6" s="83" t="s">
        <v>127</v>
      </c>
      <c r="L6" s="83" t="s">
        <v>128</v>
      </c>
      <c r="M6" s="83" t="s">
        <v>129</v>
      </c>
      <c r="N6" s="83" t="s">
        <v>130</v>
      </c>
      <c r="O6" s="83" t="s">
        <v>131</v>
      </c>
      <c r="P6" s="83" t="s">
        <v>132</v>
      </c>
      <c r="AMI6" s="0"/>
      <c r="AMJ6" s="0"/>
    </row>
    <row r="7" s="3" customFormat="true" ht="40.05" hidden="false" customHeight="true" outlineLevel="0" collapsed="false">
      <c r="B7" s="47"/>
      <c r="C7" s="47"/>
      <c r="D7" s="83"/>
      <c r="E7" s="83"/>
      <c r="F7" s="83"/>
      <c r="G7" s="83"/>
      <c r="H7" s="83"/>
      <c r="I7" s="83"/>
      <c r="J7" s="83"/>
      <c r="K7" s="83"/>
      <c r="L7" s="83"/>
      <c r="M7" s="83"/>
      <c r="N7" s="83"/>
      <c r="O7" s="83"/>
      <c r="P7" s="83"/>
      <c r="AMI7" s="0"/>
      <c r="AMJ7" s="0"/>
    </row>
    <row r="8" s="3" customFormat="true" ht="23.4" hidden="false" customHeight="true" outlineLevel="0" collapsed="false">
      <c r="B8" s="47"/>
      <c r="C8" s="47"/>
      <c r="D8" s="83" t="s">
        <v>133</v>
      </c>
      <c r="E8" s="83" t="s">
        <v>134</v>
      </c>
      <c r="F8" s="83" t="s">
        <v>135</v>
      </c>
      <c r="G8" s="83" t="s">
        <v>136</v>
      </c>
      <c r="H8" s="83" t="s">
        <v>137</v>
      </c>
      <c r="I8" s="83" t="s">
        <v>138</v>
      </c>
      <c r="J8" s="83" t="s">
        <v>139</v>
      </c>
      <c r="K8" s="83" t="s">
        <v>140</v>
      </c>
      <c r="L8" s="83" t="s">
        <v>141</v>
      </c>
      <c r="M8" s="83" t="s">
        <v>142</v>
      </c>
      <c r="N8" s="83" t="s">
        <v>143</v>
      </c>
      <c r="O8" s="83" t="s">
        <v>144</v>
      </c>
      <c r="P8" s="83"/>
      <c r="AMI8" s="0"/>
      <c r="AMJ8" s="0"/>
    </row>
    <row r="9" s="13" customFormat="true" ht="22.3" hidden="false" customHeight="true" outlineLevel="0" collapsed="false">
      <c r="B9" s="84" t="s">
        <v>145</v>
      </c>
      <c r="C9" s="84" t="s">
        <v>146</v>
      </c>
      <c r="D9" s="85" t="n">
        <v>3593.54</v>
      </c>
      <c r="E9" s="86" t="n">
        <v>1052.84</v>
      </c>
      <c r="F9" s="86" t="n">
        <v>411.17</v>
      </c>
      <c r="G9" s="86" t="n">
        <v>428.93</v>
      </c>
      <c r="H9" s="86" t="n">
        <v>329.16</v>
      </c>
      <c r="I9" s="86" t="n">
        <v>755.64</v>
      </c>
      <c r="J9" s="87" t="n">
        <v>800</v>
      </c>
      <c r="K9" s="87" t="n">
        <v>800</v>
      </c>
      <c r="L9" s="87" t="n">
        <v>800</v>
      </c>
      <c r="M9" s="87" t="n">
        <v>800</v>
      </c>
      <c r="N9" s="87" t="n">
        <v>800</v>
      </c>
      <c r="O9" s="87" t="n">
        <v>800</v>
      </c>
      <c r="P9" s="19"/>
      <c r="AMI9" s="0"/>
      <c r="AMJ9" s="0"/>
    </row>
    <row r="10" s="13" customFormat="true" ht="22.3" hidden="false" customHeight="true" outlineLevel="0" collapsed="false">
      <c r="B10" s="84"/>
      <c r="C10" s="84" t="s">
        <v>147</v>
      </c>
      <c r="D10" s="85" t="n">
        <v>37.06</v>
      </c>
      <c r="E10" s="86" t="n">
        <v>0</v>
      </c>
      <c r="F10" s="86" t="n">
        <v>0</v>
      </c>
      <c r="G10" s="86" t="n">
        <v>0</v>
      </c>
      <c r="H10" s="86" t="n">
        <v>0</v>
      </c>
      <c r="I10" s="86" t="n">
        <v>12</v>
      </c>
      <c r="J10" s="87" t="n">
        <v>1500</v>
      </c>
      <c r="K10" s="87" t="n">
        <v>1500</v>
      </c>
      <c r="L10" s="87" t="n">
        <v>1500</v>
      </c>
      <c r="M10" s="87" t="n">
        <v>1500</v>
      </c>
      <c r="N10" s="87" t="n">
        <v>1500</v>
      </c>
      <c r="O10" s="87" t="n">
        <v>1500</v>
      </c>
      <c r="P10" s="19"/>
      <c r="AMI10" s="0"/>
      <c r="AMJ10" s="0"/>
    </row>
    <row r="11" s="13" customFormat="true" ht="22.3" hidden="false" customHeight="true" outlineLevel="0" collapsed="false">
      <c r="B11" s="84"/>
      <c r="C11" s="84" t="s">
        <v>148</v>
      </c>
      <c r="D11" s="85" t="n">
        <v>116.45</v>
      </c>
      <c r="E11" s="86" t="n">
        <v>75.87</v>
      </c>
      <c r="F11" s="86" t="n">
        <v>23.09</v>
      </c>
      <c r="G11" s="86" t="n">
        <v>32.38</v>
      </c>
      <c r="H11" s="86" t="n">
        <v>26.12</v>
      </c>
      <c r="I11" s="86" t="n">
        <v>65.36</v>
      </c>
      <c r="J11" s="87" t="n">
        <v>200</v>
      </c>
      <c r="K11" s="87" t="n">
        <v>200</v>
      </c>
      <c r="L11" s="87" t="n">
        <v>200</v>
      </c>
      <c r="M11" s="87" t="n">
        <v>200</v>
      </c>
      <c r="N11" s="87" t="n">
        <v>200</v>
      </c>
      <c r="O11" s="87" t="n">
        <v>200</v>
      </c>
      <c r="P11" s="19"/>
      <c r="AMI11" s="0"/>
      <c r="AMJ11" s="0"/>
    </row>
    <row r="12" s="13" customFormat="true" ht="22.3" hidden="false" customHeight="true" outlineLevel="0" collapsed="false">
      <c r="B12" s="84" t="s">
        <v>149</v>
      </c>
      <c r="C12" s="84" t="s">
        <v>150</v>
      </c>
      <c r="D12" s="85" t="n">
        <v>176.15</v>
      </c>
      <c r="E12" s="86" t="n">
        <v>587.91</v>
      </c>
      <c r="F12" s="86" t="n">
        <v>296.19</v>
      </c>
      <c r="G12" s="86" t="n">
        <v>401.47</v>
      </c>
      <c r="H12" s="86" t="n">
        <v>270.49</v>
      </c>
      <c r="I12" s="86" t="n">
        <v>118.15</v>
      </c>
      <c r="J12" s="87" t="n">
        <v>1800</v>
      </c>
      <c r="K12" s="87" t="n">
        <v>1800</v>
      </c>
      <c r="L12" s="87" t="n">
        <v>1800</v>
      </c>
      <c r="M12" s="87" t="n">
        <v>1800</v>
      </c>
      <c r="N12" s="87" t="n">
        <v>1800</v>
      </c>
      <c r="O12" s="87" t="n">
        <v>1800</v>
      </c>
      <c r="P12" s="19"/>
      <c r="AMI12" s="0"/>
      <c r="AMJ12" s="0"/>
    </row>
    <row r="13" s="13" customFormat="true" ht="69.75" hidden="false" customHeight="true" outlineLevel="0" collapsed="false">
      <c r="B13" s="84"/>
      <c r="C13" s="88" t="s">
        <v>151</v>
      </c>
      <c r="D13" s="85" t="n">
        <v>2814.91</v>
      </c>
      <c r="E13" s="86" t="n">
        <v>1254.66</v>
      </c>
      <c r="F13" s="86" t="n">
        <v>279.4</v>
      </c>
      <c r="G13" s="86" t="n">
        <v>564.23</v>
      </c>
      <c r="H13" s="86" t="n">
        <v>145.11</v>
      </c>
      <c r="I13" s="86" t="n">
        <v>492.42</v>
      </c>
      <c r="J13" s="87" t="n">
        <v>6000</v>
      </c>
      <c r="K13" s="87" t="n">
        <v>6000</v>
      </c>
      <c r="L13" s="87" t="n">
        <v>6000</v>
      </c>
      <c r="M13" s="87" t="n">
        <v>6000</v>
      </c>
      <c r="N13" s="87" t="n">
        <v>6000</v>
      </c>
      <c r="O13" s="87" t="n">
        <v>6000</v>
      </c>
      <c r="P13" s="19"/>
      <c r="AMI13" s="0"/>
      <c r="AMJ13" s="0"/>
    </row>
    <row r="14" s="13" customFormat="true" ht="22.3" hidden="false" customHeight="true" outlineLevel="0" collapsed="false">
      <c r="B14" s="84"/>
      <c r="C14" s="84" t="s">
        <v>152</v>
      </c>
      <c r="D14" s="85" t="n">
        <v>237.53</v>
      </c>
      <c r="E14" s="86" t="n">
        <v>97.16</v>
      </c>
      <c r="F14" s="86" t="n">
        <v>220.6</v>
      </c>
      <c r="G14" s="86" t="n">
        <v>131.69</v>
      </c>
      <c r="H14" s="86" t="n">
        <v>216.44</v>
      </c>
      <c r="I14" s="86" t="n">
        <v>29.95</v>
      </c>
      <c r="J14" s="87" t="n">
        <v>1800</v>
      </c>
      <c r="K14" s="87" t="n">
        <v>1800</v>
      </c>
      <c r="L14" s="87" t="n">
        <v>1800</v>
      </c>
      <c r="M14" s="87" t="n">
        <v>1800</v>
      </c>
      <c r="N14" s="87" t="n">
        <v>1800</v>
      </c>
      <c r="O14" s="87" t="n">
        <v>1800</v>
      </c>
      <c r="P14" s="19"/>
      <c r="AMI14" s="0"/>
      <c r="AMJ14" s="0"/>
    </row>
    <row r="15" s="3" customFormat="true" ht="22.3" hidden="false" customHeight="true" outlineLevel="0" collapsed="false">
      <c r="B15" s="84" t="s">
        <v>153</v>
      </c>
      <c r="C15" s="84" t="s">
        <v>154</v>
      </c>
      <c r="D15" s="85" t="n">
        <v>358.43</v>
      </c>
      <c r="E15" s="86" t="n">
        <v>156.91</v>
      </c>
      <c r="F15" s="86" t="n">
        <v>72.68</v>
      </c>
      <c r="G15" s="86" t="n">
        <v>49.71</v>
      </c>
      <c r="H15" s="86" t="n">
        <v>18.8</v>
      </c>
      <c r="I15" s="86" t="n">
        <v>195.01</v>
      </c>
      <c r="J15" s="87" t="n">
        <v>300</v>
      </c>
      <c r="K15" s="87" t="n">
        <v>300</v>
      </c>
      <c r="L15" s="87" t="n">
        <v>300</v>
      </c>
      <c r="M15" s="87" t="n">
        <v>300</v>
      </c>
      <c r="N15" s="87" t="n">
        <v>300</v>
      </c>
      <c r="O15" s="87" t="n">
        <v>300</v>
      </c>
      <c r="P15" s="22" t="n">
        <v>16</v>
      </c>
      <c r="AMI15" s="0"/>
      <c r="AMJ15" s="0"/>
    </row>
    <row r="16" s="3" customFormat="true" ht="22.3" hidden="false" customHeight="true" outlineLevel="0" collapsed="false">
      <c r="B16" s="84"/>
      <c r="C16" s="84" t="s">
        <v>155</v>
      </c>
      <c r="D16" s="85" t="n">
        <v>358.43</v>
      </c>
      <c r="E16" s="86" t="n">
        <v>156.91</v>
      </c>
      <c r="F16" s="86" t="n">
        <v>72.68</v>
      </c>
      <c r="G16" s="86" t="n">
        <v>49.71</v>
      </c>
      <c r="H16" s="86" t="n">
        <v>18.8</v>
      </c>
      <c r="I16" s="86" t="n">
        <v>195.01</v>
      </c>
      <c r="J16" s="87" t="n">
        <v>300</v>
      </c>
      <c r="K16" s="87" t="n">
        <v>300</v>
      </c>
      <c r="L16" s="87" t="n">
        <v>300</v>
      </c>
      <c r="M16" s="87" t="n">
        <v>300</v>
      </c>
      <c r="N16" s="87" t="n">
        <v>300</v>
      </c>
      <c r="O16" s="87" t="n">
        <v>300</v>
      </c>
      <c r="P16" s="22" t="n">
        <v>16</v>
      </c>
      <c r="AMI16" s="0"/>
      <c r="AMJ16" s="0"/>
    </row>
    <row r="17" s="3" customFormat="true" ht="23.4" hidden="false" customHeight="true" outlineLevel="0" collapsed="false">
      <c r="B17" s="89" t="s">
        <v>156</v>
      </c>
      <c r="C17" s="89"/>
      <c r="D17" s="89"/>
      <c r="E17" s="89"/>
      <c r="F17" s="89"/>
      <c r="G17" s="89"/>
      <c r="H17" s="89"/>
      <c r="I17" s="89"/>
      <c r="J17" s="89"/>
      <c r="K17" s="89"/>
      <c r="L17" s="89"/>
      <c r="M17" s="89"/>
      <c r="N17" s="89"/>
      <c r="O17" s="89"/>
      <c r="P17" s="90" t="n">
        <f aca="false">IF('INSERÇÃO-DE-DADOS_MÃO DE OBRA'!E19&gt;=1,'INSERÇÃO-DE-DADOS_MÃO DE OBRA'!E20,"")</f>
        <v>6</v>
      </c>
      <c r="AMI17" s="0"/>
      <c r="AMJ17" s="0"/>
    </row>
    <row r="18" s="3" customFormat="true" ht="15.95" hidden="false" customHeight="true" outlineLevel="0" collapsed="false">
      <c r="B18" s="0"/>
      <c r="C18" s="0"/>
      <c r="D18" s="0"/>
      <c r="E18" s="0"/>
      <c r="F18" s="0"/>
      <c r="G18" s="0"/>
      <c r="H18" s="0"/>
      <c r="I18" s="0"/>
      <c r="J18" s="0"/>
      <c r="K18" s="0"/>
      <c r="L18" s="0"/>
      <c r="M18" s="0"/>
      <c r="N18" s="0"/>
      <c r="O18" s="0"/>
      <c r="P18" s="0"/>
      <c r="AMI18" s="0"/>
      <c r="AMJ18" s="0"/>
    </row>
    <row r="19" s="3" customFormat="true" ht="15.95" hidden="false" customHeight="true" outlineLevel="0" collapsed="false">
      <c r="A19" s="13"/>
      <c r="B19" s="91"/>
      <c r="C19" s="91"/>
      <c r="D19" s="91"/>
      <c r="E19" s="91"/>
      <c r="F19" s="91"/>
      <c r="G19" s="91"/>
      <c r="H19" s="91"/>
      <c r="I19" s="91"/>
      <c r="J19" s="92"/>
      <c r="K19" s="92"/>
      <c r="L19" s="92"/>
      <c r="M19" s="92"/>
      <c r="N19" s="92"/>
      <c r="O19" s="92"/>
      <c r="P19" s="92"/>
      <c r="AMI19" s="0"/>
      <c r="AMJ19" s="0"/>
    </row>
    <row r="20" s="3" customFormat="true" ht="16.5" hidden="false" customHeight="true" outlineLevel="0" collapsed="false">
      <c r="A20" s="13"/>
      <c r="B20" s="47" t="s">
        <v>157</v>
      </c>
      <c r="C20" s="47"/>
      <c r="D20" s="47"/>
      <c r="E20" s="47"/>
      <c r="F20" s="47"/>
      <c r="G20" s="47"/>
      <c r="H20" s="47"/>
      <c r="I20" s="47"/>
      <c r="J20" s="47"/>
      <c r="K20" s="47"/>
      <c r="L20" s="47"/>
      <c r="M20" s="47"/>
      <c r="N20" s="47"/>
      <c r="O20" s="47"/>
      <c r="P20" s="47"/>
      <c r="AMI20" s="0"/>
      <c r="AMJ20" s="0"/>
    </row>
    <row r="21" s="25" customFormat="true" ht="32.25" hidden="false" customHeight="true" outlineLevel="0" collapsed="false">
      <c r="B21" s="93" t="s">
        <v>158</v>
      </c>
      <c r="C21" s="93"/>
      <c r="D21" s="93"/>
      <c r="E21" s="93"/>
      <c r="F21" s="93"/>
      <c r="G21" s="93"/>
      <c r="H21" s="93"/>
      <c r="I21" s="93"/>
      <c r="J21" s="93"/>
      <c r="K21" s="93"/>
      <c r="L21" s="93"/>
      <c r="M21" s="93"/>
      <c r="N21" s="93"/>
      <c r="O21" s="93"/>
      <c r="P21" s="93"/>
      <c r="AMI21" s="0"/>
      <c r="AMJ21" s="0"/>
    </row>
    <row r="22" s="3" customFormat="true" ht="16.5" hidden="false" customHeight="true" outlineLevel="0" collapsed="false">
      <c r="B22" s="94" t="s">
        <v>159</v>
      </c>
      <c r="C22" s="94"/>
      <c r="D22" s="94"/>
      <c r="E22" s="94"/>
      <c r="F22" s="94"/>
      <c r="G22" s="94"/>
      <c r="H22" s="94"/>
      <c r="I22" s="94"/>
      <c r="J22" s="94"/>
      <c r="K22" s="94"/>
      <c r="L22" s="94"/>
      <c r="M22" s="94"/>
      <c r="N22" s="94"/>
      <c r="O22" s="94"/>
      <c r="P22" s="94"/>
      <c r="AMI22" s="0"/>
      <c r="AMJ22" s="0"/>
    </row>
    <row r="23" s="3" customFormat="true" ht="16.5" hidden="false" customHeight="true" outlineLevel="0" collapsed="false">
      <c r="B23" s="94"/>
      <c r="C23" s="94"/>
      <c r="D23" s="94"/>
      <c r="E23" s="94"/>
      <c r="F23" s="94"/>
      <c r="G23" s="94"/>
      <c r="H23" s="94"/>
      <c r="I23" s="94"/>
      <c r="J23" s="94"/>
      <c r="K23" s="94"/>
      <c r="L23" s="94"/>
      <c r="M23" s="94"/>
      <c r="N23" s="94"/>
      <c r="O23" s="94"/>
      <c r="P23" s="94"/>
      <c r="AMI23" s="0"/>
      <c r="AMJ23" s="0"/>
    </row>
    <row r="24" s="13" customFormat="true" ht="16.5" hidden="false" customHeight="true" outlineLevel="0" collapsed="false">
      <c r="A24" s="3"/>
      <c r="B24" s="95" t="s">
        <v>160</v>
      </c>
      <c r="C24" s="95"/>
      <c r="D24" s="95"/>
      <c r="E24" s="95"/>
      <c r="F24" s="95"/>
      <c r="G24" s="95"/>
      <c r="H24" s="95"/>
      <c r="I24" s="95"/>
      <c r="J24" s="95"/>
      <c r="K24" s="95"/>
      <c r="L24" s="95"/>
      <c r="M24" s="95"/>
      <c r="N24" s="95"/>
      <c r="O24" s="95"/>
      <c r="P24" s="95"/>
      <c r="AMI24" s="0"/>
      <c r="AMJ24" s="0"/>
    </row>
    <row r="25" s="3" customFormat="true" ht="15.95" hidden="false" customHeight="true" outlineLevel="0" collapsed="false">
      <c r="B25" s="95"/>
      <c r="C25" s="95"/>
      <c r="D25" s="95"/>
      <c r="E25" s="95"/>
      <c r="F25" s="95"/>
      <c r="G25" s="95"/>
      <c r="H25" s="95"/>
      <c r="I25" s="95"/>
      <c r="J25" s="95"/>
      <c r="K25" s="95"/>
      <c r="L25" s="95"/>
      <c r="M25" s="95"/>
      <c r="N25" s="95"/>
      <c r="O25" s="95"/>
      <c r="P25" s="95"/>
      <c r="AMI25" s="0"/>
      <c r="AMJ25" s="0"/>
    </row>
    <row r="26" s="3" customFormat="true" ht="15" hidden="false" customHeight="true" outlineLevel="0" collapsed="false">
      <c r="B26" s="94" t="s">
        <v>161</v>
      </c>
      <c r="C26" s="94"/>
      <c r="D26" s="94"/>
      <c r="E26" s="94"/>
      <c r="F26" s="94"/>
      <c r="G26" s="94"/>
      <c r="H26" s="94"/>
      <c r="I26" s="94"/>
      <c r="J26" s="94"/>
      <c r="K26" s="94"/>
      <c r="L26" s="94"/>
      <c r="M26" s="94"/>
      <c r="N26" s="94"/>
      <c r="O26" s="94"/>
      <c r="P26" s="94"/>
      <c r="AMI26" s="0"/>
      <c r="AMJ26" s="0"/>
    </row>
    <row r="27" s="3" customFormat="true" ht="15" hidden="false" customHeight="true" outlineLevel="0" collapsed="false">
      <c r="B27" s="94"/>
      <c r="C27" s="94"/>
      <c r="D27" s="94"/>
      <c r="E27" s="94"/>
      <c r="F27" s="94"/>
      <c r="G27" s="94"/>
      <c r="H27" s="94"/>
      <c r="I27" s="94"/>
      <c r="J27" s="94"/>
      <c r="K27" s="94"/>
      <c r="L27" s="94"/>
      <c r="M27" s="94"/>
      <c r="N27" s="94"/>
      <c r="O27" s="94"/>
      <c r="P27" s="94"/>
      <c r="AMI27" s="0"/>
      <c r="AMJ27" s="0"/>
    </row>
    <row r="28" s="3" customFormat="true" ht="15" hidden="false" customHeight="true" outlineLevel="0" collapsed="false">
      <c r="A28" s="13"/>
      <c r="AMI28" s="0"/>
      <c r="AMJ28" s="0"/>
    </row>
    <row r="29" s="3" customFormat="true" ht="15.95" hidden="false" customHeight="true" outlineLevel="0" collapsed="false">
      <c r="E29" s="0"/>
      <c r="AMI29" s="0"/>
      <c r="AMJ29" s="0"/>
    </row>
    <row r="30" s="3" customFormat="true" ht="15.95" hidden="false" customHeight="true" outlineLevel="0" collapsed="false">
      <c r="AMI30" s="0"/>
      <c r="AMJ30" s="0"/>
    </row>
    <row r="31" s="3" customFormat="true" ht="13.8" hidden="false" customHeight="false" outlineLevel="0" collapsed="false">
      <c r="B31" s="1"/>
      <c r="C31" s="1"/>
      <c r="D31" s="1"/>
      <c r="E31" s="1"/>
      <c r="F31" s="1"/>
      <c r="G31" s="1"/>
      <c r="H31" s="1"/>
      <c r="I31" s="1"/>
      <c r="J31" s="1"/>
      <c r="K31" s="1"/>
      <c r="L31" s="1"/>
      <c r="M31" s="1"/>
      <c r="N31" s="1"/>
      <c r="O31" s="1"/>
      <c r="P31" s="1"/>
      <c r="AMI31" s="0"/>
      <c r="AMJ31" s="0"/>
    </row>
    <row r="32" s="3" customFormat="true" ht="13.8" hidden="false" customHeight="false" outlineLevel="0" collapsed="false">
      <c r="B32" s="1"/>
      <c r="C32" s="1"/>
      <c r="D32" s="1"/>
      <c r="E32" s="1"/>
      <c r="F32" s="1"/>
      <c r="G32" s="1"/>
      <c r="H32" s="1"/>
      <c r="I32" s="1"/>
      <c r="J32" s="1"/>
      <c r="K32" s="1"/>
      <c r="L32" s="1"/>
      <c r="M32" s="1"/>
      <c r="N32" s="1"/>
      <c r="O32" s="1"/>
      <c r="P32" s="1"/>
      <c r="AMI32" s="0"/>
      <c r="AMJ32" s="0"/>
    </row>
    <row r="34" customFormat="false" ht="16.5" hidden="false" customHeight="true" outlineLevel="0" collapsed="false"/>
    <row r="35" customFormat="false" ht="16.5" hidden="false" customHeight="true" outlineLevel="0" collapsed="false"/>
    <row r="36" customFormat="false" ht="16.5" hidden="false" customHeight="true" outlineLevel="0" collapsed="false">
      <c r="J36" s="52"/>
      <c r="K36" s="52"/>
      <c r="L36" s="52"/>
      <c r="M36" s="52"/>
      <c r="N36" s="52"/>
      <c r="O36" s="52"/>
    </row>
    <row r="37" customFormat="false" ht="16.5" hidden="false" customHeight="true" outlineLevel="0" collapsed="false">
      <c r="B37" s="52"/>
      <c r="C37" s="52"/>
      <c r="D37" s="52"/>
      <c r="E37" s="52"/>
      <c r="F37" s="52"/>
      <c r="G37" s="52"/>
      <c r="H37" s="52"/>
      <c r="I37" s="52"/>
      <c r="J37" s="52"/>
      <c r="K37" s="52"/>
      <c r="L37" s="52"/>
      <c r="M37" s="52"/>
      <c r="N37" s="52"/>
      <c r="O37" s="52"/>
      <c r="P37" s="52"/>
    </row>
    <row r="38" customFormat="false" ht="16.5" hidden="false" customHeight="true" outlineLevel="0" collapsed="false">
      <c r="B38" s="52"/>
      <c r="C38" s="52"/>
      <c r="D38" s="52"/>
      <c r="E38" s="52"/>
      <c r="F38" s="52"/>
      <c r="G38" s="52"/>
      <c r="H38" s="52"/>
      <c r="I38" s="52"/>
      <c r="J38" s="3"/>
      <c r="K38" s="3"/>
      <c r="L38" s="3"/>
      <c r="M38" s="3"/>
      <c r="N38" s="3"/>
      <c r="O38" s="3"/>
      <c r="P38" s="52"/>
    </row>
    <row r="39" s="52" customFormat="true" ht="13.8" hidden="false" customHeight="false" outlineLevel="0" collapsed="false">
      <c r="B39" s="3"/>
      <c r="C39" s="3"/>
      <c r="D39" s="3"/>
      <c r="E39" s="3"/>
      <c r="F39" s="3"/>
      <c r="G39" s="3"/>
      <c r="H39" s="3"/>
      <c r="I39" s="3"/>
      <c r="J39" s="13"/>
      <c r="K39" s="13"/>
      <c r="L39" s="13"/>
      <c r="M39" s="13"/>
      <c r="N39" s="13"/>
      <c r="O39" s="13"/>
      <c r="P39" s="3"/>
      <c r="AMI39" s="0"/>
      <c r="AMJ39" s="0"/>
    </row>
    <row r="40" s="52" customFormat="true" ht="13.8" hidden="false" customHeight="false" outlineLevel="0" collapsed="false">
      <c r="A40" s="1"/>
      <c r="B40" s="13"/>
      <c r="C40" s="13"/>
      <c r="D40" s="13"/>
      <c r="E40" s="13"/>
      <c r="F40" s="13"/>
      <c r="G40" s="13"/>
      <c r="H40" s="13"/>
      <c r="I40" s="13"/>
      <c r="P40" s="13"/>
      <c r="AMI40" s="0"/>
      <c r="AMJ40" s="0"/>
    </row>
    <row r="41" s="52" customFormat="true" ht="13.8" hidden="false" customHeight="false" outlineLevel="0" collapsed="false">
      <c r="AMI41" s="0"/>
      <c r="AMJ41" s="0"/>
    </row>
    <row r="42" s="52" customFormat="true" ht="13.8" hidden="false" customHeight="false" outlineLevel="0" collapsed="false">
      <c r="A42" s="1"/>
      <c r="AMI42" s="0"/>
      <c r="AMJ42" s="0"/>
    </row>
    <row r="43" s="52" customFormat="true" ht="15" hidden="false" customHeight="true" outlineLevel="0" collapsed="false">
      <c r="A43" s="1"/>
      <c r="AMI43" s="0"/>
      <c r="AMJ43" s="0"/>
    </row>
    <row r="44" s="52" customFormat="true" ht="13.8" hidden="false" customHeight="false" outlineLevel="0" collapsed="false">
      <c r="A44" s="1"/>
      <c r="AMI44" s="0"/>
      <c r="AMJ44" s="0"/>
    </row>
    <row r="45" s="52" customFormat="true" ht="13.8" hidden="false" customHeight="false" outlineLevel="0" collapsed="false">
      <c r="A45" s="1"/>
      <c r="AMI45" s="0"/>
      <c r="AMJ45" s="0"/>
    </row>
    <row r="46" s="52" customFormat="true" ht="13.8" hidden="false" customHeight="false" outlineLevel="0" collapsed="false">
      <c r="A46" s="1"/>
      <c r="AMI46" s="0"/>
      <c r="AMJ46" s="0"/>
    </row>
    <row r="47" s="52" customFormat="true" ht="13.8" hidden="false" customHeight="false" outlineLevel="0" collapsed="false">
      <c r="A47" s="1"/>
      <c r="AMI47" s="0"/>
      <c r="AMJ47" s="0"/>
    </row>
    <row r="48" s="52" customFormat="true" ht="13.8" hidden="false" customHeight="false" outlineLevel="0" collapsed="false">
      <c r="A48" s="1"/>
      <c r="AMI48" s="0"/>
      <c r="AMJ48" s="0"/>
    </row>
    <row r="49" s="52" customFormat="true" ht="13.8" hidden="false" customHeight="false" outlineLevel="0" collapsed="false">
      <c r="A49" s="1"/>
      <c r="AMI49" s="0"/>
      <c r="AMJ49" s="0"/>
    </row>
    <row r="50" s="52" customFormat="true" ht="13.8" hidden="false" customHeight="false" outlineLevel="0" collapsed="false">
      <c r="A50" s="1"/>
      <c r="AMI50" s="0"/>
      <c r="AMJ50" s="0"/>
    </row>
    <row r="51" s="52" customFormat="true" ht="13.8" hidden="false" customHeight="false" outlineLevel="0" collapsed="false">
      <c r="J51" s="1"/>
      <c r="K51" s="1"/>
      <c r="L51" s="1"/>
      <c r="M51" s="1"/>
      <c r="N51" s="1"/>
      <c r="O51" s="1"/>
      <c r="AMI51" s="0"/>
      <c r="AMJ51" s="0"/>
    </row>
    <row r="52" s="52" customFormat="true" ht="13.8" hidden="false" customHeight="false" outlineLevel="0" collapsed="false">
      <c r="B52" s="1"/>
      <c r="C52" s="1"/>
      <c r="D52" s="1"/>
      <c r="E52" s="1"/>
      <c r="F52" s="1"/>
      <c r="G52" s="1"/>
      <c r="H52" s="1"/>
      <c r="I52" s="1"/>
      <c r="J52" s="1"/>
      <c r="K52" s="1"/>
      <c r="L52" s="1"/>
      <c r="M52" s="1"/>
      <c r="N52" s="1"/>
      <c r="O52" s="1"/>
      <c r="P52" s="1"/>
      <c r="AMI52" s="0"/>
      <c r="AMJ52" s="0"/>
    </row>
    <row r="53" customFormat="false" ht="16.5" hidden="false" customHeight="true" outlineLevel="0" collapsed="false">
      <c r="J53" s="52"/>
      <c r="K53" s="52"/>
      <c r="L53" s="52"/>
      <c r="M53" s="52"/>
      <c r="N53" s="52"/>
      <c r="O53" s="52"/>
    </row>
    <row r="54" customFormat="false" ht="16.5" hidden="false" customHeight="true" outlineLevel="0" collapsed="false">
      <c r="B54" s="52"/>
      <c r="C54" s="52"/>
      <c r="D54" s="52"/>
      <c r="E54" s="52"/>
      <c r="F54" s="52"/>
      <c r="G54" s="52"/>
      <c r="H54" s="52"/>
      <c r="I54" s="52"/>
      <c r="J54" s="3"/>
      <c r="K54" s="3"/>
      <c r="L54" s="3"/>
      <c r="M54" s="3"/>
      <c r="N54" s="3"/>
      <c r="O54" s="3"/>
      <c r="P54" s="52"/>
    </row>
    <row r="55" customFormat="false" ht="16.5" hidden="false" customHeight="true" outlineLevel="0" collapsed="false">
      <c r="B55" s="3"/>
      <c r="C55" s="3"/>
      <c r="D55" s="3"/>
      <c r="E55" s="3"/>
      <c r="F55" s="3"/>
      <c r="G55" s="3"/>
      <c r="H55" s="3"/>
      <c r="I55" s="3"/>
      <c r="J55" s="3"/>
      <c r="K55" s="3"/>
      <c r="L55" s="3"/>
      <c r="M55" s="3"/>
      <c r="N55" s="3"/>
      <c r="O55" s="3"/>
      <c r="P55" s="3"/>
    </row>
    <row r="56" s="52" customFormat="true" ht="13.8" hidden="false" customHeight="false" outlineLevel="0" collapsed="false">
      <c r="B56" s="3"/>
      <c r="C56" s="3"/>
      <c r="D56" s="3"/>
      <c r="E56" s="3"/>
      <c r="F56" s="3"/>
      <c r="G56" s="3"/>
      <c r="H56" s="3"/>
      <c r="I56" s="3"/>
      <c r="J56" s="3"/>
      <c r="K56" s="3"/>
      <c r="L56" s="3"/>
      <c r="M56" s="3"/>
      <c r="N56" s="3"/>
      <c r="O56" s="3"/>
      <c r="P56" s="3"/>
      <c r="AMI56" s="0"/>
      <c r="AMJ56" s="0"/>
    </row>
    <row r="57" s="3" customFormat="true" ht="12.8" hidden="false" customHeight="false" outlineLevel="0" collapsed="false">
      <c r="AMI57" s="0"/>
      <c r="AMJ57" s="0"/>
    </row>
    <row r="58" s="3" customFormat="true" ht="15" hidden="false" customHeight="true" outlineLevel="0" collapsed="false">
      <c r="J58" s="1"/>
      <c r="K58" s="1"/>
      <c r="L58" s="1"/>
      <c r="M58" s="1"/>
      <c r="N58" s="1"/>
      <c r="O58" s="1"/>
      <c r="AMI58" s="0"/>
      <c r="AMJ58" s="0"/>
    </row>
    <row r="59" s="3" customFormat="true" ht="16.5" hidden="false" customHeight="true" outlineLevel="0" collapsed="false">
      <c r="B59" s="1"/>
      <c r="C59" s="1"/>
      <c r="D59" s="1"/>
      <c r="E59" s="1"/>
      <c r="F59" s="1"/>
      <c r="G59" s="1"/>
      <c r="H59" s="1"/>
      <c r="I59" s="1"/>
      <c r="J59" s="1"/>
      <c r="K59" s="1"/>
      <c r="L59" s="1"/>
      <c r="M59" s="1"/>
      <c r="N59" s="1"/>
      <c r="O59" s="1"/>
      <c r="P59" s="1"/>
      <c r="AMI59" s="0"/>
      <c r="AMJ59" s="0"/>
    </row>
    <row r="60" customFormat="false" ht="16.5" hidden="false" customHeight="true" outlineLevel="0" collapsed="false">
      <c r="A60" s="3"/>
    </row>
    <row r="61" s="52" customFormat="true" ht="13.8" hidden="false" customHeight="false" outlineLevel="0" collapsed="false">
      <c r="B61" s="1"/>
      <c r="C61" s="1"/>
      <c r="D61" s="1"/>
      <c r="E61" s="1"/>
      <c r="F61" s="1"/>
      <c r="G61" s="1"/>
      <c r="H61" s="1"/>
      <c r="I61" s="1"/>
      <c r="J61" s="1"/>
      <c r="K61" s="1"/>
      <c r="L61" s="1"/>
      <c r="M61" s="1"/>
      <c r="N61" s="1"/>
      <c r="O61" s="1"/>
      <c r="P61" s="1"/>
      <c r="AMI61" s="0"/>
      <c r="AMJ61" s="0"/>
    </row>
    <row r="64" customFormat="false" ht="16.5" hidden="false" customHeight="true" outlineLevel="0" collapsed="false"/>
    <row r="65" customFormat="false" ht="15" hidden="false" customHeight="true" outlineLevel="0" collapsed="false">
      <c r="J65" s="52"/>
      <c r="K65" s="52"/>
      <c r="L65" s="52"/>
      <c r="M65" s="52"/>
      <c r="N65" s="52"/>
      <c r="O65" s="52"/>
    </row>
    <row r="66" s="52" customFormat="true" ht="13.8" hidden="false" customHeight="false" outlineLevel="0" collapsed="false">
      <c r="J66" s="1"/>
      <c r="K66" s="1"/>
      <c r="L66" s="1"/>
      <c r="M66" s="1"/>
      <c r="N66" s="1"/>
      <c r="O66" s="1"/>
      <c r="AMI66" s="0"/>
      <c r="AMJ66" s="0"/>
    </row>
    <row r="68" customFormat="false" ht="15.75" hidden="false" customHeight="true" outlineLevel="0" collapsed="false">
      <c r="J68" s="67"/>
      <c r="K68" s="67"/>
      <c r="L68" s="67"/>
      <c r="M68" s="67"/>
      <c r="N68" s="67"/>
      <c r="O68" s="67"/>
    </row>
    <row r="69" customFormat="false" ht="16.5" hidden="false" customHeight="true" outlineLevel="0" collapsed="false">
      <c r="B69" s="67"/>
      <c r="C69" s="67"/>
      <c r="D69" s="67"/>
      <c r="E69" s="67"/>
      <c r="F69" s="67"/>
      <c r="G69" s="67"/>
      <c r="H69" s="67"/>
      <c r="I69" s="67"/>
      <c r="J69" s="67"/>
      <c r="K69" s="67"/>
      <c r="L69" s="67"/>
      <c r="M69" s="67"/>
      <c r="N69" s="67"/>
      <c r="O69" s="67"/>
      <c r="P69" s="67"/>
    </row>
    <row r="70" customFormat="false" ht="16.5" hidden="false" customHeight="true" outlineLevel="0" collapsed="false">
      <c r="B70" s="67"/>
      <c r="C70" s="67"/>
      <c r="D70" s="67"/>
      <c r="E70" s="67"/>
      <c r="F70" s="67"/>
      <c r="G70" s="67"/>
      <c r="H70" s="67"/>
      <c r="I70" s="67"/>
      <c r="J70" s="52"/>
      <c r="K70" s="52"/>
      <c r="L70" s="52"/>
      <c r="M70" s="52"/>
      <c r="N70" s="52"/>
      <c r="O70" s="52"/>
      <c r="P70" s="67"/>
    </row>
    <row r="71" s="67" customFormat="true" ht="16.5" hidden="false" customHeight="true" outlineLevel="0" collapsed="false">
      <c r="A71" s="1"/>
      <c r="B71" s="52"/>
      <c r="C71" s="52"/>
      <c r="D71" s="52"/>
      <c r="E71" s="52"/>
      <c r="F71" s="52"/>
      <c r="G71" s="52"/>
      <c r="H71" s="52"/>
      <c r="I71" s="52"/>
      <c r="J71" s="70"/>
      <c r="K71" s="70"/>
      <c r="L71" s="70"/>
      <c r="M71" s="70"/>
      <c r="N71" s="70"/>
      <c r="O71" s="70"/>
      <c r="P71" s="52"/>
      <c r="AMI71" s="0"/>
      <c r="AMJ71" s="0"/>
    </row>
    <row r="72" s="67" customFormat="true" ht="16.5" hidden="false" customHeight="true" outlineLevel="0" collapsed="false">
      <c r="A72" s="1"/>
      <c r="B72" s="70"/>
      <c r="C72" s="70"/>
      <c r="D72" s="70"/>
      <c r="E72" s="70"/>
      <c r="F72" s="70"/>
      <c r="G72" s="70"/>
      <c r="H72" s="70"/>
      <c r="I72" s="70"/>
      <c r="J72" s="68"/>
      <c r="K72" s="68"/>
      <c r="L72" s="68"/>
      <c r="M72" s="68"/>
      <c r="N72" s="68"/>
      <c r="O72" s="68"/>
      <c r="P72" s="70"/>
      <c r="AMI72" s="0"/>
      <c r="AMJ72" s="0"/>
    </row>
    <row r="73" s="52" customFormat="true" ht="13.8" hidden="false" customHeight="false" outlineLevel="0" collapsed="false">
      <c r="B73" s="68"/>
      <c r="C73" s="68"/>
      <c r="D73" s="68"/>
      <c r="E73" s="68"/>
      <c r="F73" s="68"/>
      <c r="G73" s="68"/>
      <c r="H73" s="68"/>
      <c r="I73" s="68"/>
      <c r="J73" s="68"/>
      <c r="K73" s="68"/>
      <c r="L73" s="68"/>
      <c r="M73" s="68"/>
      <c r="N73" s="68"/>
      <c r="O73" s="68"/>
      <c r="P73" s="68"/>
      <c r="AMI73" s="0"/>
      <c r="AMJ73" s="0"/>
    </row>
    <row r="74" s="70" customFormat="true" ht="16.5" hidden="false" customHeight="true" outlineLevel="0" collapsed="false">
      <c r="A74" s="1"/>
      <c r="B74" s="68"/>
      <c r="C74" s="68"/>
      <c r="D74" s="68"/>
      <c r="E74" s="68"/>
      <c r="F74" s="68"/>
      <c r="G74" s="68"/>
      <c r="H74" s="68"/>
      <c r="I74" s="68"/>
      <c r="J74" s="68"/>
      <c r="K74" s="68"/>
      <c r="L74" s="68"/>
      <c r="M74" s="68"/>
      <c r="N74" s="68"/>
      <c r="O74" s="68"/>
      <c r="P74" s="68"/>
      <c r="AMI74" s="0"/>
      <c r="AMJ74" s="0"/>
    </row>
    <row r="75" s="68" customFormat="true" ht="16.5" hidden="false" customHeight="true" outlineLevel="0" collapsed="false">
      <c r="A75" s="1"/>
      <c r="AMI75" s="0"/>
      <c r="AMJ75" s="0"/>
    </row>
    <row r="76" s="68" customFormat="true" ht="16.5" hidden="false" customHeight="true" outlineLevel="0" collapsed="false">
      <c r="A76" s="67"/>
      <c r="J76" s="1"/>
      <c r="K76" s="1"/>
      <c r="L76" s="1"/>
      <c r="M76" s="1"/>
      <c r="N76" s="1"/>
      <c r="O76" s="1"/>
      <c r="AMI76" s="0"/>
      <c r="AMJ76" s="0"/>
    </row>
    <row r="77" s="68" customFormat="true" ht="16.5" hidden="false" customHeight="true" outlineLevel="0" collapsed="false">
      <c r="A77" s="67"/>
      <c r="B77" s="1"/>
      <c r="C77" s="1"/>
      <c r="D77" s="1"/>
      <c r="E77" s="1"/>
      <c r="F77" s="1"/>
      <c r="G77" s="1"/>
      <c r="H77" s="1"/>
      <c r="I77" s="1"/>
      <c r="J77" s="1"/>
      <c r="K77" s="1"/>
      <c r="L77" s="1"/>
      <c r="M77" s="1"/>
      <c r="N77" s="1"/>
      <c r="O77" s="1"/>
      <c r="P77" s="1"/>
      <c r="AMI77" s="0"/>
      <c r="AMJ77" s="0"/>
    </row>
    <row r="78" s="68" customFormat="true" ht="16.5" hidden="false" customHeight="true" outlineLevel="0" collapsed="false">
      <c r="A78" s="70"/>
      <c r="B78" s="1"/>
      <c r="C78" s="1"/>
      <c r="D78" s="1"/>
      <c r="E78" s="1"/>
      <c r="F78" s="1"/>
      <c r="G78" s="1"/>
      <c r="H78" s="1"/>
      <c r="I78" s="1"/>
      <c r="J78" s="52"/>
      <c r="K78" s="52"/>
      <c r="L78" s="52"/>
      <c r="M78" s="52"/>
      <c r="N78" s="52"/>
      <c r="O78" s="52"/>
      <c r="P78" s="1"/>
      <c r="AMI78" s="0"/>
      <c r="AMJ78" s="0"/>
    </row>
    <row r="79" customFormat="false" ht="16.5" hidden="false" customHeight="true" outlineLevel="0" collapsed="false">
      <c r="B79" s="52"/>
      <c r="C79" s="52"/>
      <c r="D79" s="52"/>
      <c r="E79" s="52"/>
      <c r="F79" s="52"/>
      <c r="G79" s="52"/>
      <c r="H79" s="52"/>
      <c r="I79" s="52"/>
      <c r="P79" s="52"/>
    </row>
    <row r="80" customFormat="false" ht="16.5" hidden="false" customHeight="true" outlineLevel="0" collapsed="false"/>
    <row r="81" s="52" customFormat="true" ht="13.8" hidden="false" customHeight="false" outlineLevel="0" collapsed="false">
      <c r="B81" s="1"/>
      <c r="C81" s="1"/>
      <c r="D81" s="1"/>
      <c r="E81" s="1"/>
      <c r="F81" s="1"/>
      <c r="G81" s="1"/>
      <c r="H81" s="1"/>
      <c r="I81" s="1"/>
      <c r="J81" s="1"/>
      <c r="K81" s="1"/>
      <c r="L81" s="1"/>
      <c r="M81" s="1"/>
      <c r="N81" s="1"/>
      <c r="O81" s="1"/>
      <c r="P81" s="1"/>
      <c r="AMI81" s="0"/>
      <c r="AMJ81" s="0"/>
    </row>
    <row r="83" customFormat="false" ht="33.75" hidden="false" customHeight="true" outlineLevel="0" collapsed="false"/>
    <row r="1048576" customFormat="false" ht="12.8" hidden="false" customHeight="false" outlineLevel="0" collapsed="false"/>
  </sheetData>
  <mergeCells count="28">
    <mergeCell ref="B2:P2"/>
    <mergeCell ref="B4:O4"/>
    <mergeCell ref="B5:I5"/>
    <mergeCell ref="J5:O5"/>
    <mergeCell ref="B6:B8"/>
    <mergeCell ref="C6:C8"/>
    <mergeCell ref="D6:D7"/>
    <mergeCell ref="E6:E7"/>
    <mergeCell ref="F6:F7"/>
    <mergeCell ref="G6:G7"/>
    <mergeCell ref="H6:H7"/>
    <mergeCell ref="I6:I7"/>
    <mergeCell ref="J6:J7"/>
    <mergeCell ref="K6:K7"/>
    <mergeCell ref="L6:L7"/>
    <mergeCell ref="M6:M7"/>
    <mergeCell ref="N6:N7"/>
    <mergeCell ref="O6:O7"/>
    <mergeCell ref="P6:P8"/>
    <mergeCell ref="B9:B11"/>
    <mergeCell ref="B12:B14"/>
    <mergeCell ref="B15:B16"/>
    <mergeCell ref="B17:J17"/>
    <mergeCell ref="B20:P20"/>
    <mergeCell ref="B21:P21"/>
    <mergeCell ref="B22:P23"/>
    <mergeCell ref="B24:P25"/>
    <mergeCell ref="B26:P27"/>
  </mergeCells>
  <dataValidations count="1">
    <dataValidation allowBlank="true" operator="between" showDropDown="false" showErrorMessage="true" showInputMessage="true" sqref="P4" type="list">
      <formula1>"7/2015,213/2017"</formula1>
      <formula2>0</formula2>
    </dataValidation>
  </dataValidations>
  <printOptions headings="false" gridLines="false" gridLinesSet="true" horizontalCentered="false" verticalCentered="false"/>
  <pageMargins left="0.170138888888889" right="0.170138888888889" top="0.459722222222222" bottom="0.329861111111111" header="0.511805555555555" footer="0.511805555555555"/>
  <pageSetup paperSize="9" scale="72"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sheetPr filterMode="false">
    <pageSetUpPr fitToPage="false"/>
  </sheetPr>
  <dimension ref="B1:J1048576"/>
  <sheetViews>
    <sheetView showFormulas="false" showGridLines="true" showRowColHeaders="true" showZeros="true" rightToLeft="false" tabSelected="false" showOutlineSymbols="true" defaultGridColor="true" view="normal" topLeftCell="A1" colorId="64" zoomScale="113" zoomScaleNormal="113" zoomScalePageLayoutView="100" workbookViewId="0">
      <selection pane="topLeft" activeCell="J23" activeCellId="0" sqref="J23"/>
    </sheetView>
  </sheetViews>
  <sheetFormatPr defaultRowHeight="14.25" zeroHeight="false" outlineLevelRow="0" outlineLevelCol="0"/>
  <cols>
    <col collapsed="false" customWidth="true" hidden="false" outlineLevel="0" max="1" min="1" style="211" width="1.71"/>
    <col collapsed="false" customWidth="true" hidden="false" outlineLevel="0" max="2" min="2" style="211" width="6.01"/>
    <col collapsed="false" customWidth="true" hidden="false" outlineLevel="0" max="3" min="3" style="211" width="33.87"/>
    <col collapsed="false" customWidth="true" hidden="false" outlineLevel="0" max="4" min="4" style="211" width="25.3"/>
    <col collapsed="false" customWidth="true" hidden="false" outlineLevel="0" max="5" min="5" style="211" width="20.76"/>
    <col collapsed="false" customWidth="true" hidden="false" outlineLevel="0" max="6" min="6" style="211" width="15.35"/>
    <col collapsed="false" customWidth="true" hidden="false" outlineLevel="0" max="7" min="7" style="211" width="14.62"/>
    <col collapsed="false" customWidth="true" hidden="false" outlineLevel="0" max="8" min="8" style="211" width="15.8"/>
    <col collapsed="false" customWidth="true" hidden="false" outlineLevel="0" max="9" min="9" style="211" width="12.57"/>
    <col collapsed="false" customWidth="true" hidden="false" outlineLevel="0" max="10" min="10" style="211" width="11.26"/>
    <col collapsed="false" customWidth="true" hidden="false" outlineLevel="0" max="1025" min="11" style="211" width="9.13"/>
  </cols>
  <sheetData>
    <row r="1" s="1" customFormat="true" ht="20.25" hidden="false" customHeight="tru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1" customFormat="true" ht="16.5" hidden="false" customHeight="true" outlineLevel="0" collapsed="false">
      <c r="B3" s="3"/>
      <c r="C3" s="3"/>
      <c r="D3" s="3"/>
      <c r="E3" s="3"/>
      <c r="F3" s="3"/>
    </row>
    <row r="4" s="1" customFormat="true" ht="17.35" hidden="false" customHeight="false" outlineLevel="0" collapsed="false">
      <c r="B4" s="230" t="s">
        <v>443</v>
      </c>
      <c r="C4" s="230"/>
      <c r="D4" s="230"/>
      <c r="E4" s="230"/>
      <c r="F4" s="230"/>
    </row>
    <row r="5" s="1" customFormat="true" ht="46.3" hidden="false" customHeight="false" outlineLevel="0" collapsed="false">
      <c r="B5" s="19" t="s">
        <v>444</v>
      </c>
      <c r="C5" s="19" t="s">
        <v>29</v>
      </c>
      <c r="D5" s="47" t="s">
        <v>445</v>
      </c>
      <c r="E5" s="47" t="s">
        <v>327</v>
      </c>
      <c r="F5" s="47" t="s">
        <v>446</v>
      </c>
    </row>
    <row r="6" s="1" customFormat="true" ht="16.45" hidden="false" customHeight="false" outlineLevel="0" collapsed="false">
      <c r="B6" s="19" t="s">
        <v>447</v>
      </c>
      <c r="C6" s="231" t="s">
        <v>42</v>
      </c>
      <c r="D6" s="231" t="s">
        <v>101</v>
      </c>
      <c r="E6" s="232" t="s">
        <v>448</v>
      </c>
      <c r="F6" s="233" t="n">
        <f aca="false">'CUSTO M² CG'!H62</f>
        <v>22395.9223460944</v>
      </c>
    </row>
    <row r="7" s="1" customFormat="true" ht="16.45" hidden="false" customHeight="false" outlineLevel="0" collapsed="false">
      <c r="B7" s="47" t="s">
        <v>449</v>
      </c>
      <c r="C7" s="231" t="s">
        <v>42</v>
      </c>
      <c r="D7" s="231" t="s">
        <v>450</v>
      </c>
      <c r="E7" s="232" t="s">
        <v>448</v>
      </c>
      <c r="F7" s="233" t="n">
        <f aca="false">'CUSTO M² DOU'!F46</f>
        <v>7588.4384465164</v>
      </c>
    </row>
    <row r="8" s="1" customFormat="true" ht="16.45" hidden="false" customHeight="false" outlineLevel="0" collapsed="false">
      <c r="B8" s="47" t="s">
        <v>451</v>
      </c>
      <c r="C8" s="231" t="s">
        <v>42</v>
      </c>
      <c r="D8" s="231" t="s">
        <v>452</v>
      </c>
      <c r="E8" s="232" t="s">
        <v>448</v>
      </c>
      <c r="F8" s="233" t="n">
        <f aca="false">'CUSTO M² TL'!F46</f>
        <v>3228.07769898553</v>
      </c>
    </row>
    <row r="9" s="1" customFormat="true" ht="16.45" hidden="false" customHeight="false" outlineLevel="0" collapsed="false">
      <c r="B9" s="47" t="s">
        <v>453</v>
      </c>
      <c r="C9" s="231" t="s">
        <v>42</v>
      </c>
      <c r="D9" s="231" t="s">
        <v>454</v>
      </c>
      <c r="E9" s="232" t="s">
        <v>448</v>
      </c>
      <c r="F9" s="233" t="n">
        <f aca="false">'CUSTO M² COR'!F46</f>
        <v>3595.4981300645</v>
      </c>
    </row>
    <row r="10" s="1" customFormat="true" ht="16.45" hidden="false" customHeight="false" outlineLevel="0" collapsed="false">
      <c r="B10" s="47" t="s">
        <v>455</v>
      </c>
      <c r="C10" s="231" t="s">
        <v>42</v>
      </c>
      <c r="D10" s="231" t="s">
        <v>456</v>
      </c>
      <c r="E10" s="232" t="s">
        <v>448</v>
      </c>
      <c r="F10" s="233" t="n">
        <f aca="false">'CUSTO M² PP'!F46</f>
        <v>2731.59010781119</v>
      </c>
    </row>
    <row r="11" s="1" customFormat="true" ht="16.45" hidden="false" customHeight="false" outlineLevel="0" collapsed="false">
      <c r="B11" s="47" t="s">
        <v>457</v>
      </c>
      <c r="C11" s="231" t="s">
        <v>42</v>
      </c>
      <c r="D11" s="231" t="s">
        <v>458</v>
      </c>
      <c r="E11" s="232" t="s">
        <v>448</v>
      </c>
      <c r="F11" s="233" t="n">
        <f aca="false">'CUSTO M² NAV'!F46</f>
        <v>4791.91286955226</v>
      </c>
    </row>
    <row r="12" s="1" customFormat="true" ht="16.5" hidden="false" customHeight="true" outlineLevel="0" collapsed="false">
      <c r="B12" s="46" t="s">
        <v>459</v>
      </c>
      <c r="C12" s="46"/>
      <c r="D12" s="46"/>
      <c r="E12" s="46"/>
      <c r="F12" s="234" t="n">
        <f aca="false">SUM(F6:F11)</f>
        <v>44331.4395990243</v>
      </c>
    </row>
    <row r="13" customFormat="false" ht="12.8" hidden="false" customHeight="false" outlineLevel="0" collapsed="false">
      <c r="G13" s="1"/>
    </row>
    <row r="14" s="1" customFormat="true" ht="17.35" hidden="false" customHeight="false" outlineLevel="0" collapsed="false">
      <c r="B14" s="235" t="s">
        <v>460</v>
      </c>
      <c r="C14" s="235"/>
      <c r="D14" s="235"/>
      <c r="E14" s="235"/>
      <c r="F14" s="235"/>
      <c r="G14" s="235"/>
      <c r="H14" s="235"/>
      <c r="I14" s="235"/>
      <c r="J14" s="235"/>
    </row>
    <row r="15" customFormat="false" ht="49.5" hidden="false" customHeight="true" outlineLevel="0" collapsed="false">
      <c r="B15" s="19" t="s">
        <v>461</v>
      </c>
      <c r="C15" s="19"/>
      <c r="D15" s="47" t="str">
        <f aca="false">ENCARREGADO_DE_LIMPEZA</f>
        <v>Encarregado de Limpeza</v>
      </c>
      <c r="E15" s="47" t="str">
        <f aca="false">SERVENTE</f>
        <v>Servente Campo Grande</v>
      </c>
      <c r="F15" s="47" t="s">
        <v>462</v>
      </c>
      <c r="G15" s="47" t="s">
        <v>463</v>
      </c>
      <c r="H15" s="47" t="s">
        <v>464</v>
      </c>
      <c r="I15" s="47" t="s">
        <v>465</v>
      </c>
      <c r="J15" s="47" t="s">
        <v>466</v>
      </c>
    </row>
    <row r="16" customFormat="false" ht="16.5" hidden="false" customHeight="true" outlineLevel="0" collapsed="false">
      <c r="B16" s="236" t="s">
        <v>467</v>
      </c>
      <c r="C16" s="236"/>
      <c r="D16" s="237" t="n">
        <f aca="false">IF(QTDE_DE_ENC&lt;1,"",ENCARREGADO!SUBMOD_2_1_DEC_TERC_ADIC_FERIAS_ENC+ENCARREGADO!SUBMOD_2_2_GPS_FGTS_ENC+ENCARREGADO!MOD_3_PROVISAO_RESCISAO_ENC+ENCARREGADO!SUBMOD_4_1_SUBSTITUTO_ENC)</f>
        <v>887.78357096777</v>
      </c>
      <c r="E16" s="237" t="n">
        <f aca="false">IF(QTDE_DE_SERV="","",'SERVENTE CG'!SUBMOD_2_1_DEC_TERC_ADIC_FERIAS_SERV+'SERVENTE CG'!SUBMOD_2_2_GPS_FGTS_SERV+'SERVENTE CG'!MOD_3_PROVISAO_RESCISAO_SERV+'SERVENTE CG'!SUBMOD_4_1_SUBSTITUTO_SERV)</f>
        <v>775.523855230248</v>
      </c>
      <c r="F16" s="237" t="n">
        <f aca="false">'SERVENTE DOU'!F32+'SERVENTE DOU'!F43+'SERVENTE DOU'!F60+'SERVENTE DOU'!F70</f>
        <v>772.038975629353</v>
      </c>
      <c r="G16" s="237" t="n">
        <f aca="false">'SERVENTE TL'!F32+'SERVENTE TL'!F43+'SERVENTE TL'!F60+'SERVENTE TL'!F70</f>
        <v>773.647381598997</v>
      </c>
      <c r="H16" s="237" t="n">
        <f aca="false">'SERVENTE COR'!F32+'SERVENTE COR'!F43+'SERVENTE COR'!F60+'SERVENTE COR'!F70</f>
        <v>774.183516922211</v>
      </c>
      <c r="I16" s="237" t="n">
        <f aca="false">'SERVENTE PP'!F32+'SERVENTE PP'!F43+'SERVENTE PP'!F60+'SERVENTE PP'!F70</f>
        <v>774.451584583819</v>
      </c>
      <c r="J16" s="237" t="n">
        <f aca="false">'SERVENTE NAV'!F32+'SERVENTE NAV'!F43+'SERVENTE NAV'!F60+'SERVENTE NAV'!F70</f>
        <v>761.891396148144</v>
      </c>
    </row>
    <row r="17" customFormat="false" ht="16.5" hidden="false" customHeight="true" outlineLevel="0" collapsed="false">
      <c r="B17" s="23" t="s">
        <v>468</v>
      </c>
      <c r="C17" s="23"/>
      <c r="D17" s="238" t="n">
        <f aca="false">IF(QTDE_DE_ENC&lt;1,"",ENCARREGADO!MOD_1_REMUNERACAO_ENC)</f>
        <v>1190.12</v>
      </c>
      <c r="E17" s="238" t="n">
        <f aca="false">IF(QTDE_DE_SERV="","",'SERVENTE CG'!MOD_1_REMUNERACAO_SERV)</f>
        <v>1032</v>
      </c>
      <c r="F17" s="238" t="n">
        <f aca="false">'SERVENTE DOU'!F26</f>
        <v>1032</v>
      </c>
      <c r="G17" s="238" t="n">
        <f aca="false">'SERVENTE TL'!F26</f>
        <v>1032</v>
      </c>
      <c r="H17" s="238" t="n">
        <f aca="false">'SERVENTE COR'!F26</f>
        <v>1032</v>
      </c>
      <c r="I17" s="238" t="n">
        <f aca="false">'SERVENTE PP'!F26</f>
        <v>1032</v>
      </c>
      <c r="J17" s="238" t="n">
        <f aca="false">'SERVENTE NAV'!F26</f>
        <v>1032</v>
      </c>
    </row>
    <row r="18" customFormat="false" ht="31.4" hidden="false" customHeight="true" outlineLevel="0" collapsed="false">
      <c r="B18" s="108" t="s">
        <v>469</v>
      </c>
      <c r="C18" s="108"/>
      <c r="D18" s="239" t="n">
        <f aca="false">IF(QTDE_DE_ENC&lt;1,"",IFERROR(D16/D17,0))</f>
        <v>0.745961391261192</v>
      </c>
      <c r="E18" s="239" t="n">
        <f aca="false">IF(QTDE_DE_SERV="","",IFERROR(E16/E17,0))</f>
        <v>0.751476603905279</v>
      </c>
      <c r="F18" s="239" t="n">
        <f aca="false">F16/F17</f>
        <v>0.748099782586582</v>
      </c>
      <c r="G18" s="239" t="n">
        <f aca="false">G16/G17</f>
        <v>0.749658315502904</v>
      </c>
      <c r="H18" s="239" t="n">
        <f aca="false">H16/H17</f>
        <v>0.750177826475011</v>
      </c>
      <c r="I18" s="239" t="n">
        <f aca="false">I16/I17</f>
        <v>0.750437581961065</v>
      </c>
      <c r="J18" s="239" t="n">
        <f aca="false">J16/J17</f>
        <v>0.738266856732698</v>
      </c>
    </row>
    <row r="19" customFormat="false" ht="14.25" hidden="false" customHeight="false" outlineLevel="0" collapsed="false">
      <c r="B19" s="240" t="s">
        <v>470</v>
      </c>
      <c r="C19" s="240"/>
      <c r="D19" s="240"/>
    </row>
    <row r="20" s="1" customFormat="true" ht="16.5" hidden="false" customHeight="true" outlineLevel="0" collapsed="false">
      <c r="B20" s="241" t="s">
        <v>471</v>
      </c>
      <c r="C20" s="241"/>
      <c r="D20" s="241"/>
      <c r="E20" s="241"/>
      <c r="F20" s="241"/>
      <c r="G20" s="241"/>
      <c r="H20" s="241"/>
    </row>
    <row r="21" customFormat="false" ht="14.25" hidden="false" customHeight="true" outlineLevel="0" collapsed="false">
      <c r="B21" s="241"/>
      <c r="C21" s="241"/>
      <c r="D21" s="241"/>
      <c r="E21" s="241"/>
      <c r="F21" s="241"/>
      <c r="G21" s="241"/>
      <c r="H21" s="241"/>
    </row>
    <row r="22" customFormat="false" ht="23.25" hidden="false" customHeight="true" outlineLevel="0" collapsed="false">
      <c r="B22" s="242" t="s">
        <v>472</v>
      </c>
      <c r="C22" s="242"/>
      <c r="D22" s="242"/>
      <c r="E22" s="242"/>
      <c r="F22" s="242"/>
      <c r="G22" s="242"/>
      <c r="H22" s="242"/>
    </row>
    <row r="23" s="240" customFormat="true" ht="15.65" hidden="false" customHeight="true" outlineLevel="0" collapsed="false">
      <c r="B23" s="47" t="s">
        <v>269</v>
      </c>
      <c r="C23" s="47"/>
      <c r="D23" s="47" t="s">
        <v>473</v>
      </c>
      <c r="E23" s="47" t="s">
        <v>474</v>
      </c>
      <c r="F23" s="47"/>
      <c r="G23" s="28" t="s">
        <v>475</v>
      </c>
      <c r="H23" s="28"/>
    </row>
    <row r="24" customFormat="false" ht="15.65" hidden="false" customHeight="true" outlineLevel="0" collapsed="false">
      <c r="B24" s="47"/>
      <c r="C24" s="47"/>
      <c r="D24" s="47"/>
      <c r="E24" s="47"/>
      <c r="F24" s="47"/>
      <c r="G24" s="28"/>
      <c r="H24" s="28"/>
    </row>
    <row r="25" customFormat="false" ht="19.3" hidden="false" customHeight="true" outlineLevel="0" collapsed="false">
      <c r="B25" s="47"/>
      <c r="C25" s="47"/>
      <c r="D25" s="47"/>
      <c r="E25" s="47" t="str">
        <f aca="false">"PORTARIA Nº "&amp; PORTARIA_LIMITES</f>
        <v>PORTARIA Nº</v>
      </c>
      <c r="F25" s="47"/>
      <c r="G25" s="47" t="str">
        <f aca="false">"PORTARIA Nº "&amp; PORTARIA_LIMITES</f>
        <v>PORTARIA Nº</v>
      </c>
      <c r="H25" s="47"/>
    </row>
    <row r="26" customFormat="false" ht="34.25" hidden="false" customHeight="true" outlineLevel="0" collapsed="false">
      <c r="B26" s="243" t="s">
        <v>476</v>
      </c>
      <c r="C26" s="243"/>
      <c r="D26" s="206" t="n">
        <f aca="false">'CUSTO M² CG'!F54</f>
        <v>4.04437178565912</v>
      </c>
      <c r="E26" s="205" t="n">
        <f aca="false">'LIMITES-SEGES-PORT-213-2017'!C17</f>
        <v>3.69</v>
      </c>
      <c r="F26" s="239" t="str">
        <f aca="false">IF(D26="","Não se aplica",IF(AND(E26&lt;=D26,D26&gt;0),"SIM, está em conformidade.","NÃO, é inferior."))</f>
        <v>SIM, está em conformidade.</v>
      </c>
      <c r="G26" s="205" t="n">
        <f aca="false">IF(D26="","",IF(PRODUT_AREA_INTERNA=600,SUMIF('LIMITES-SEGES-PORT-7-2015'!$A:$A,UF,'LIMITES-SEGES-PORT-7-2015'!D:D),SUMIF('LIMITES-SEGES-PORT-213-2017'!$A:$A,UF,'LIMITES-SEGES-PORT-213-2017'!D:D)))</f>
        <v>4.44</v>
      </c>
      <c r="H26" s="244" t="str">
        <f aca="false">IF(D26="","Não se aplica",IF(D26&lt;=G26,"SIM, está em conformidade.","NÃO, é superior."))</f>
        <v>SIM, está em conformidade.</v>
      </c>
    </row>
    <row r="27" customFormat="false" ht="34.25" hidden="false" customHeight="true" outlineLevel="0" collapsed="false">
      <c r="B27" s="243" t="s">
        <v>477</v>
      </c>
      <c r="C27" s="243"/>
      <c r="D27" s="106" t="n">
        <f aca="false">'CUSTO M² CG'!F59</f>
        <v>1.79749857140406</v>
      </c>
      <c r="E27" s="245" t="n">
        <f aca="false">IF(D27="","",IF(PRODUT_AREA_EXTERNA=1200,SUMIF('LIMITES-SEGES-PORT-7-2015'!$A:$A,UF,'LIMITES-SEGES-PORT-7-2015'!E:E),SUMIF('LIMITES-SEGES-PORT-213-2017'!$A:$A,UF,'LIMITES-SEGES-PORT-213-2017'!G:G)))</f>
        <v>1.64</v>
      </c>
      <c r="F27" s="239" t="str">
        <f aca="false">IF(D27="","Não se aplica",IF(AND(E27&lt;=D27,D27&gt;0),"SIM, está em conformidade.", "NÃO, é inferior."))</f>
        <v>SIM, está em conformidade.</v>
      </c>
      <c r="G27" s="245" t="n">
        <f aca="false">IF(D27="","",IF(PRODUT_AREA_EXTERNA=1200,SUMIF('LIMITES-SEGES-PORT-7-2015'!$A:$A,UF,'LIMITES-SEGES-PORT-7-2015'!F:F),SUMIF('LIMITES-SEGES-PORT-213-2017'!$A:$A,UF,'LIMITES-SEGES-PORT-213-2017'!H:H)))</f>
        <v>1.97</v>
      </c>
      <c r="H27" s="244" t="str">
        <f aca="false">IF(D27="","Não se aplica",IF(D27&lt;=G27,"SIM, está em conformidade.","NÃO, é superior."))</f>
        <v>SIM, está em conformidade.</v>
      </c>
    </row>
    <row r="28" customFormat="false" ht="34.25" hidden="false" customHeight="true" outlineLevel="0" collapsed="false">
      <c r="B28" s="243" t="s">
        <v>153</v>
      </c>
      <c r="C28" s="243"/>
      <c r="D28" s="206" t="n">
        <f aca="false">'CUSTO M² CG'!F61</f>
        <v>0.915090181805701</v>
      </c>
      <c r="E28" s="205" t="n">
        <f aca="false">IF(D28="","",IF(PRODUT_AREA_ESQ_EXTERNA=220,SUMIF('LIMITES-SEGES-PORT-7-2015'!$A:$A,UF,'LIMITES-SEGES-PORT-7-2015'!G:G),SUMIF('LIMITES-SEGES-PORT-213-2017'!$A:$A,UF,'LIMITES-SEGES-PORT-213-2017'!K:K)))</f>
        <v>0.83</v>
      </c>
      <c r="F28" s="239" t="str">
        <f aca="false">IF(D28="","Não se aplica",IF(E28&lt;=D28,"SIM, está em conformidade.","NÃO, é inferior."))</f>
        <v>SIM, está em conformidade.</v>
      </c>
      <c r="G28" s="205" t="n">
        <f aca="false">IF(D28="","",IF(PRODUT_AREA_ESQ_EXTERNA=220,SUMIF('LIMITES-SEGES-PORT-7-2015'!$A:$A,UF,'LIMITES-SEGES-PORT-7-2015'!H:H),SUMIF('LIMITES-SEGES-PORT-213-2017'!$A:$A,UF,'LIMITES-SEGES-PORT-213-2017'!L:L)))</f>
        <v>1</v>
      </c>
      <c r="H28" s="244" t="str">
        <f aca="false">IF(D28="","Não se aplica",IF(D28&lt;=G28,"SIM, está em conformidade.","NÃO, é superior."))</f>
        <v>SIM, está em conformidade.</v>
      </c>
    </row>
    <row r="29" customFormat="false" ht="23.25" hidden="false" customHeight="true" outlineLevel="0" collapsed="false">
      <c r="B29" s="242" t="s">
        <v>450</v>
      </c>
      <c r="C29" s="242"/>
      <c r="D29" s="242"/>
      <c r="E29" s="242"/>
      <c r="F29" s="242"/>
      <c r="G29" s="242"/>
      <c r="H29" s="242"/>
    </row>
    <row r="30" customFormat="false" ht="15.65" hidden="false" customHeight="true" outlineLevel="0" collapsed="false">
      <c r="B30" s="47" t="s">
        <v>269</v>
      </c>
      <c r="C30" s="47"/>
      <c r="D30" s="47" t="s">
        <v>473</v>
      </c>
      <c r="E30" s="47" t="s">
        <v>474</v>
      </c>
      <c r="F30" s="47"/>
      <c r="G30" s="28" t="s">
        <v>475</v>
      </c>
      <c r="H30" s="28"/>
    </row>
    <row r="31" customFormat="false" ht="15.65" hidden="false" customHeight="true" outlineLevel="0" collapsed="false">
      <c r="B31" s="47"/>
      <c r="C31" s="47"/>
      <c r="D31" s="47"/>
      <c r="E31" s="47"/>
      <c r="F31" s="47"/>
      <c r="G31" s="28"/>
      <c r="H31" s="28"/>
    </row>
    <row r="32" customFormat="false" ht="19.3" hidden="false" customHeight="true" outlineLevel="0" collapsed="false">
      <c r="B32" s="47"/>
      <c r="C32" s="47"/>
      <c r="D32" s="47"/>
      <c r="E32" s="47" t="str">
        <f aca="false">"PORTARIA Nº "&amp; PORTARIA_LIMITES</f>
        <v>PORTARIA Nº</v>
      </c>
      <c r="F32" s="47"/>
      <c r="G32" s="47" t="str">
        <f aca="false">"PORTARIA Nº "&amp; PORTARIA_LIMITES</f>
        <v>PORTARIA Nº</v>
      </c>
      <c r="H32" s="47"/>
    </row>
    <row r="33" customFormat="false" ht="34.25" hidden="false" customHeight="true" outlineLevel="0" collapsed="false">
      <c r="B33" s="243" t="s">
        <v>476</v>
      </c>
      <c r="C33" s="243"/>
      <c r="D33" s="206" t="n">
        <f aca="false">'CUSTO M² DOU'!E38</f>
        <v>3.9958302512524</v>
      </c>
      <c r="E33" s="205" t="n">
        <f aca="false">'LIMITES-SEGES-PORT-213-2017'!C17</f>
        <v>3.69</v>
      </c>
      <c r="F33" s="239" t="str">
        <f aca="false">IF(D33="","Não se aplica",IF(AND(E33&lt;=D33,D33&gt;0),"SIM, está em conformidade.","NÃO, é inferior."))</f>
        <v>SIM, está em conformidade.</v>
      </c>
      <c r="G33" s="205" t="n">
        <f aca="false">'LIMITES-SEGES-PORT-213-2017'!D17</f>
        <v>4.44</v>
      </c>
      <c r="H33" s="244" t="str">
        <f aca="false">IF(D33="","Não se aplica",IF(D33&lt;=G33,"SIM, está em conformidade.","NÃO, é superior."))</f>
        <v>SIM, está em conformidade.</v>
      </c>
    </row>
    <row r="34" customFormat="false" ht="34.25" hidden="false" customHeight="true" outlineLevel="0" collapsed="false">
      <c r="B34" s="243" t="s">
        <v>477</v>
      </c>
      <c r="C34" s="243"/>
      <c r="D34" s="106" t="n">
        <f aca="false">'CUSTO M² DOU'!E43</f>
        <v>1.77592455611218</v>
      </c>
      <c r="E34" s="245" t="n">
        <f aca="false">'LIMITES-SEGES-PORT-213-2017'!G17</f>
        <v>1.64</v>
      </c>
      <c r="F34" s="239" t="str">
        <f aca="false">IF(D34="","Não se aplica",IF(AND(E34&lt;=D34,D34&gt;0),"SIM, está em conformidade.", "NÃO, é inferior."))</f>
        <v>SIM, está em conformidade.</v>
      </c>
      <c r="G34" s="245" t="n">
        <f aca="false">'LIMITES-SEGES-PORT-213-2017'!H17</f>
        <v>1.97</v>
      </c>
      <c r="H34" s="244" t="str">
        <f aca="false">IF(D34="","Não se aplica",IF(D34&lt;=G34,"SIM, está em conformidade.","NÃO, é superior."))</f>
        <v>SIM, está em conformidade.</v>
      </c>
    </row>
    <row r="35" customFormat="false" ht="34.25" hidden="false" customHeight="true" outlineLevel="0" collapsed="false">
      <c r="B35" s="243" t="s">
        <v>153</v>
      </c>
      <c r="C35" s="243"/>
      <c r="D35" s="206" t="n">
        <f aca="false">'CUSTO M² DOU'!E45</f>
        <v>0.904107046748019</v>
      </c>
      <c r="E35" s="205" t="n">
        <f aca="false">'LIMITES-SEGES-PORT-213-2017'!K17</f>
        <v>0.83</v>
      </c>
      <c r="F35" s="239" t="str">
        <f aca="false">IF(D35="","Não se aplica",IF(E35&lt;=D35,"SIM, está em conformidade.","NÃO, é inferior."))</f>
        <v>SIM, está em conformidade.</v>
      </c>
      <c r="G35" s="205" t="n">
        <f aca="false">'LIMITES-SEGES-PORT-213-2017'!L17</f>
        <v>1</v>
      </c>
      <c r="H35" s="244" t="str">
        <f aca="false">IF(D35="","Não se aplica",IF(D35&lt;=G35,"SIM, está em conformidade.","NÃO, é superior."))</f>
        <v>SIM, está em conformidade.</v>
      </c>
    </row>
    <row r="36" customFormat="false" ht="23.25" hidden="false" customHeight="true" outlineLevel="0" collapsed="false">
      <c r="B36" s="242" t="s">
        <v>452</v>
      </c>
      <c r="C36" s="242"/>
      <c r="D36" s="242"/>
      <c r="E36" s="242"/>
      <c r="F36" s="242"/>
      <c r="G36" s="242"/>
      <c r="H36" s="242"/>
    </row>
    <row r="37" customFormat="false" ht="15.65" hidden="false" customHeight="true" outlineLevel="0" collapsed="false">
      <c r="B37" s="47" t="s">
        <v>269</v>
      </c>
      <c r="C37" s="47"/>
      <c r="D37" s="47" t="s">
        <v>473</v>
      </c>
      <c r="E37" s="47" t="s">
        <v>474</v>
      </c>
      <c r="F37" s="47"/>
      <c r="G37" s="28" t="s">
        <v>475</v>
      </c>
      <c r="H37" s="28"/>
    </row>
    <row r="38" customFormat="false" ht="15.65" hidden="false" customHeight="true" outlineLevel="0" collapsed="false">
      <c r="B38" s="47"/>
      <c r="C38" s="47"/>
      <c r="D38" s="47"/>
      <c r="E38" s="47"/>
      <c r="F38" s="47"/>
      <c r="G38" s="28"/>
      <c r="H38" s="28"/>
    </row>
    <row r="39" customFormat="false" ht="19.3" hidden="false" customHeight="true" outlineLevel="0" collapsed="false">
      <c r="B39" s="47"/>
      <c r="C39" s="47"/>
      <c r="D39" s="47"/>
      <c r="E39" s="47" t="str">
        <f aca="false">"PORTARIA Nº "&amp; PORTARIA_LIMITES</f>
        <v>PORTARIA Nº</v>
      </c>
      <c r="F39" s="47"/>
      <c r="G39" s="47" t="str">
        <f aca="false">"PORTARIA Nº "&amp; PORTARIA_LIMITES</f>
        <v>PORTARIA Nº</v>
      </c>
      <c r="H39" s="47"/>
    </row>
    <row r="40" customFormat="false" ht="34.25" hidden="false" customHeight="true" outlineLevel="0" collapsed="false">
      <c r="B40" s="243" t="s">
        <v>476</v>
      </c>
      <c r="C40" s="243"/>
      <c r="D40" s="206" t="n">
        <f aca="false">'CUSTO M² TL'!E38</f>
        <v>4.0182340363632</v>
      </c>
      <c r="E40" s="205" t="n">
        <f aca="false">E33</f>
        <v>3.69</v>
      </c>
      <c r="F40" s="239" t="str">
        <f aca="false">IF(D40="","Não se aplica",IF(AND(E40&lt;=D40,D40&gt;0),"SIM, está em conformidade.","NÃO, é inferior."))</f>
        <v>SIM, está em conformidade.</v>
      </c>
      <c r="G40" s="205" t="n">
        <f aca="false">G33</f>
        <v>4.44</v>
      </c>
      <c r="H40" s="244" t="str">
        <f aca="false">IF(D40="","Não se aplica",IF(D40&lt;=G40,"SIM, está em conformidade.","NÃO, é superior."))</f>
        <v>SIM, está em conformidade.</v>
      </c>
    </row>
    <row r="41" customFormat="false" ht="34.25" hidden="false" customHeight="true" outlineLevel="0" collapsed="false">
      <c r="B41" s="243" t="s">
        <v>477</v>
      </c>
      <c r="C41" s="243"/>
      <c r="D41" s="106" t="n">
        <f aca="false">'CUSTO M² TL'!E43</f>
        <v>1.7858817939392</v>
      </c>
      <c r="E41" s="245" t="n">
        <f aca="false">E34</f>
        <v>1.64</v>
      </c>
      <c r="F41" s="239" t="str">
        <f aca="false">IF(D41="","Não se aplica",IF(AND(E41&lt;=D41,D41&gt;0),"SIM, está em conformidade.", "NÃO, é inferior."))</f>
        <v>SIM, está em conformidade.</v>
      </c>
      <c r="G41" s="245" t="n">
        <f aca="false">G34</f>
        <v>1.97</v>
      </c>
      <c r="H41" s="244" t="str">
        <f aca="false">IF(D41="","Não se aplica",IF(D41&lt;=G41,"SIM, está em conformidade.","NÃO, é superior."))</f>
        <v>SIM, está em conformidade.</v>
      </c>
    </row>
    <row r="42" customFormat="false" ht="34.25" hidden="false" customHeight="true" outlineLevel="0" collapsed="false">
      <c r="B42" s="243" t="s">
        <v>153</v>
      </c>
      <c r="C42" s="243"/>
      <c r="D42" s="206" t="n">
        <f aca="false">'CUSTO M² TL'!E45</f>
        <v>0.90917618600541</v>
      </c>
      <c r="E42" s="205" t="n">
        <f aca="false">E35</f>
        <v>0.83</v>
      </c>
      <c r="F42" s="239" t="str">
        <f aca="false">IF(D42="","Não se aplica",IF(E42&lt;=D42,"SIM, está em conformidade.","NÃO, é inferior."))</f>
        <v>SIM, está em conformidade.</v>
      </c>
      <c r="G42" s="205" t="n">
        <f aca="false">G35</f>
        <v>1</v>
      </c>
      <c r="H42" s="244" t="str">
        <f aca="false">IF(D42="","Não se aplica",IF(D42&lt;=G42,"SIM, está em conformidade.","NÃO, é superior."))</f>
        <v>SIM, está em conformidade.</v>
      </c>
    </row>
    <row r="43" customFormat="false" ht="23.25" hidden="false" customHeight="true" outlineLevel="0" collapsed="false">
      <c r="B43" s="242" t="s">
        <v>454</v>
      </c>
      <c r="C43" s="242"/>
      <c r="D43" s="242"/>
      <c r="E43" s="242"/>
      <c r="F43" s="242"/>
      <c r="G43" s="242"/>
      <c r="H43" s="242"/>
    </row>
    <row r="44" customFormat="false" ht="15.65" hidden="false" customHeight="true" outlineLevel="0" collapsed="false">
      <c r="B44" s="47" t="s">
        <v>269</v>
      </c>
      <c r="C44" s="47"/>
      <c r="D44" s="47" t="s">
        <v>473</v>
      </c>
      <c r="E44" s="47" t="s">
        <v>474</v>
      </c>
      <c r="F44" s="47"/>
      <c r="G44" s="28" t="s">
        <v>475</v>
      </c>
      <c r="H44" s="28"/>
    </row>
    <row r="45" customFormat="false" ht="15.65" hidden="false" customHeight="true" outlineLevel="0" collapsed="false">
      <c r="B45" s="47"/>
      <c r="C45" s="47"/>
      <c r="D45" s="47"/>
      <c r="E45" s="47"/>
      <c r="F45" s="47"/>
      <c r="G45" s="28"/>
      <c r="H45" s="28"/>
    </row>
    <row r="46" customFormat="false" ht="19.3" hidden="false" customHeight="true" outlineLevel="0" collapsed="false">
      <c r="B46" s="47"/>
      <c r="C46" s="47"/>
      <c r="D46" s="47"/>
      <c r="E46" s="47" t="str">
        <f aca="false">"PORTARIA Nº "&amp; PORTARIA_LIMITES</f>
        <v>PORTARIA Nº</v>
      </c>
      <c r="F46" s="47"/>
      <c r="G46" s="47" t="str">
        <f aca="false">"PORTARIA Nº "&amp; PORTARIA_LIMITES</f>
        <v>PORTARIA Nº</v>
      </c>
      <c r="H46" s="47"/>
    </row>
    <row r="47" customFormat="false" ht="34.25" hidden="false" customHeight="true" outlineLevel="0" collapsed="false">
      <c r="B47" s="243" t="s">
        <v>476</v>
      </c>
      <c r="C47" s="243"/>
      <c r="D47" s="206" t="n">
        <f aca="false">'CUSTO M² COR'!E38</f>
        <v>4.02570196473346</v>
      </c>
      <c r="E47" s="205" t="n">
        <f aca="false">E40</f>
        <v>3.69</v>
      </c>
      <c r="F47" s="239" t="str">
        <f aca="false">IF(D47="","Não se aplica",IF(AND(E47&lt;=D47,D47&gt;0),"SIM, está em conformidade.","NÃO, é inferior."))</f>
        <v>SIM, está em conformidade.</v>
      </c>
      <c r="G47" s="205" t="n">
        <f aca="false">G40</f>
        <v>4.44</v>
      </c>
      <c r="H47" s="244" t="str">
        <f aca="false">IF(D47="","Não se aplica",IF(D47&lt;=G47,"SIM, está em conformidade.","NÃO, é superior."))</f>
        <v>SIM, está em conformidade.</v>
      </c>
    </row>
    <row r="48" customFormat="false" ht="34.25" hidden="false" customHeight="true" outlineLevel="0" collapsed="false">
      <c r="B48" s="243" t="s">
        <v>477</v>
      </c>
      <c r="C48" s="243"/>
      <c r="D48" s="106" t="n">
        <f aca="false">'CUSTO M² COR'!E43</f>
        <v>1.78920087321487</v>
      </c>
      <c r="E48" s="245" t="n">
        <f aca="false">E41</f>
        <v>1.64</v>
      </c>
      <c r="F48" s="239" t="str">
        <f aca="false">IF(D48="","Não se aplica",IF(AND(E48&lt;=D48,D48&gt;0),"SIM, está em conformidade.", "NÃO, é inferior."))</f>
        <v>SIM, está em conformidade.</v>
      </c>
      <c r="G48" s="245" t="n">
        <f aca="false">G41</f>
        <v>1.97</v>
      </c>
      <c r="H48" s="244" t="str">
        <f aca="false">IF(D48="","Não se aplica",IF(D48&lt;=G48,"SIM, está em conformidade.","NÃO, é superior."))</f>
        <v>SIM, está em conformidade.</v>
      </c>
    </row>
    <row r="49" customFormat="false" ht="34.25" hidden="false" customHeight="true" outlineLevel="0" collapsed="false">
      <c r="B49" s="243" t="s">
        <v>153</v>
      </c>
      <c r="C49" s="243"/>
      <c r="D49" s="206" t="n">
        <f aca="false">'CUSTO M² COR'!E45</f>
        <v>0.910865899091208</v>
      </c>
      <c r="E49" s="205" t="n">
        <f aca="false">E42</f>
        <v>0.83</v>
      </c>
      <c r="F49" s="239" t="str">
        <f aca="false">IF(D49="","Não se aplica",IF(E49&lt;=D49,"SIM, está em conformidade.","NÃO, é inferior."))</f>
        <v>SIM, está em conformidade.</v>
      </c>
      <c r="G49" s="205" t="n">
        <f aca="false">G42</f>
        <v>1</v>
      </c>
      <c r="H49" s="244" t="str">
        <f aca="false">IF(D49="","Não se aplica",IF(D49&lt;=G49,"SIM, está em conformidade.","NÃO, é superior."))</f>
        <v>SIM, está em conformidade.</v>
      </c>
    </row>
    <row r="50" customFormat="false" ht="23.25" hidden="false" customHeight="true" outlineLevel="0" collapsed="false">
      <c r="B50" s="242" t="s">
        <v>456</v>
      </c>
      <c r="C50" s="242"/>
      <c r="D50" s="242"/>
      <c r="E50" s="242"/>
      <c r="F50" s="242"/>
      <c r="G50" s="242"/>
      <c r="H50" s="242"/>
    </row>
    <row r="51" customFormat="false" ht="15.65" hidden="false" customHeight="true" outlineLevel="0" collapsed="false">
      <c r="B51" s="47" t="s">
        <v>269</v>
      </c>
      <c r="C51" s="47"/>
      <c r="D51" s="47" t="s">
        <v>473</v>
      </c>
      <c r="E51" s="47" t="s">
        <v>474</v>
      </c>
      <c r="F51" s="47"/>
      <c r="G51" s="28" t="s">
        <v>475</v>
      </c>
      <c r="H51" s="28"/>
    </row>
    <row r="52" customFormat="false" ht="15.65" hidden="false" customHeight="true" outlineLevel="0" collapsed="false">
      <c r="B52" s="47"/>
      <c r="C52" s="47"/>
      <c r="D52" s="47"/>
      <c r="E52" s="47"/>
      <c r="F52" s="47"/>
      <c r="G52" s="28"/>
      <c r="H52" s="28"/>
    </row>
    <row r="53" customFormat="false" ht="19.3" hidden="false" customHeight="true" outlineLevel="0" collapsed="false">
      <c r="B53" s="47"/>
      <c r="C53" s="47"/>
      <c r="D53" s="47"/>
      <c r="E53" s="47" t="str">
        <f aca="false">"PORTARIA Nº "&amp; PORTARIA_LIMITES</f>
        <v>PORTARIA Nº</v>
      </c>
      <c r="F53" s="47"/>
      <c r="G53" s="47" t="str">
        <f aca="false">"PORTARIA Nº "&amp; PORTARIA_LIMITES</f>
        <v>PORTARIA Nº</v>
      </c>
      <c r="H53" s="47"/>
    </row>
    <row r="54" customFormat="false" ht="34.25" hidden="false" customHeight="true" outlineLevel="0" collapsed="false">
      <c r="B54" s="243" t="s">
        <v>476</v>
      </c>
      <c r="C54" s="243"/>
      <c r="D54" s="206" t="n">
        <f aca="false">'CUSTO M² PP'!E38</f>
        <v>4.02943592891859</v>
      </c>
      <c r="E54" s="205" t="n">
        <f aca="false">E47</f>
        <v>3.69</v>
      </c>
      <c r="F54" s="239" t="str">
        <f aca="false">IF(D54="","Não se aplica",IF(AND(E54&lt;=D54,D54&gt;0),"SIM, está em conformidade.","NÃO, é inferior."))</f>
        <v>SIM, está em conformidade.</v>
      </c>
      <c r="G54" s="205" t="n">
        <f aca="false">G47</f>
        <v>4.44</v>
      </c>
      <c r="H54" s="244" t="str">
        <f aca="false">IF(D54="","Não se aplica",IF(D54&lt;=G54,"SIM, está em conformidade.","NÃO, é superior."))</f>
        <v>SIM, está em conformidade.</v>
      </c>
    </row>
    <row r="55" customFormat="false" ht="34.25" hidden="false" customHeight="true" outlineLevel="0" collapsed="false">
      <c r="B55" s="243" t="s">
        <v>477</v>
      </c>
      <c r="C55" s="243"/>
      <c r="D55" s="106" t="n">
        <f aca="false">'CUSTO M² PP'!E43</f>
        <v>1.79086041285271</v>
      </c>
      <c r="E55" s="245" t="n">
        <f aca="false">E48</f>
        <v>1.64</v>
      </c>
      <c r="F55" s="239" t="str">
        <f aca="false">IF(D55="","Não se aplica",IF(AND(E55&lt;=D55,D55&gt;0),"SIM, está em conformidade.", "NÃO, é inferior."))</f>
        <v>SIM, está em conformidade.</v>
      </c>
      <c r="G55" s="245" t="n">
        <f aca="false">G48</f>
        <v>1.97</v>
      </c>
      <c r="H55" s="244" t="str">
        <f aca="false">IF(D55="","Não se aplica",IF(D55&lt;=G55,"SIM, está em conformidade.","NÃO, é superior."))</f>
        <v>SIM, está em conformidade.</v>
      </c>
    </row>
    <row r="56" customFormat="false" ht="34.25" hidden="false" customHeight="true" outlineLevel="0" collapsed="false">
      <c r="B56" s="243" t="s">
        <v>153</v>
      </c>
      <c r="C56" s="243"/>
      <c r="D56" s="206" t="n">
        <f aca="false">'CUSTO M² PP'!E45</f>
        <v>0.911710755634106</v>
      </c>
      <c r="E56" s="205" t="n">
        <f aca="false">E49</f>
        <v>0.83</v>
      </c>
      <c r="F56" s="239" t="str">
        <f aca="false">IF(D56="","Não se aplica",IF(E56&lt;=D56,"SIM, está em conformidade.","NÃO, é inferior."))</f>
        <v>SIM, está em conformidade.</v>
      </c>
      <c r="G56" s="205" t="n">
        <f aca="false">G49</f>
        <v>1</v>
      </c>
      <c r="H56" s="244" t="str">
        <f aca="false">IF(D56="","Não se aplica",IF(D56&lt;=G56,"SIM, está em conformidade.","NÃO, é superior."))</f>
        <v>SIM, está em conformidade.</v>
      </c>
    </row>
    <row r="57" customFormat="false" ht="23.25" hidden="false" customHeight="true" outlineLevel="0" collapsed="false">
      <c r="B57" s="242" t="s">
        <v>458</v>
      </c>
      <c r="C57" s="242"/>
      <c r="D57" s="242"/>
      <c r="E57" s="242"/>
      <c r="F57" s="242"/>
      <c r="G57" s="242"/>
      <c r="H57" s="242"/>
    </row>
    <row r="58" customFormat="false" ht="15.65" hidden="false" customHeight="true" outlineLevel="0" collapsed="false">
      <c r="B58" s="47" t="s">
        <v>269</v>
      </c>
      <c r="C58" s="47"/>
      <c r="D58" s="47" t="s">
        <v>473</v>
      </c>
      <c r="E58" s="47" t="s">
        <v>474</v>
      </c>
      <c r="F58" s="47"/>
      <c r="G58" s="28" t="s">
        <v>475</v>
      </c>
      <c r="H58" s="28"/>
    </row>
    <row r="59" customFormat="false" ht="15.65" hidden="false" customHeight="true" outlineLevel="0" collapsed="false">
      <c r="B59" s="47"/>
      <c r="C59" s="47"/>
      <c r="D59" s="47"/>
      <c r="E59" s="47"/>
      <c r="F59" s="47"/>
      <c r="G59" s="28"/>
      <c r="H59" s="28"/>
    </row>
    <row r="60" customFormat="false" ht="19.3" hidden="false" customHeight="true" outlineLevel="0" collapsed="false">
      <c r="B60" s="47"/>
      <c r="C60" s="47"/>
      <c r="D60" s="47"/>
      <c r="E60" s="47" t="str">
        <f aca="false">"PORTARIA Nº "&amp; PORTARIA_LIMITES</f>
        <v>PORTARIA Nº</v>
      </c>
      <c r="F60" s="47"/>
      <c r="G60" s="47" t="str">
        <f aca="false">"PORTARIA Nº "&amp; PORTARIA_LIMITES</f>
        <v>PORTARIA Nº</v>
      </c>
      <c r="H60" s="47"/>
    </row>
    <row r="61" customFormat="false" ht="34.25" hidden="false" customHeight="true" outlineLevel="0" collapsed="false">
      <c r="B61" s="243" t="s">
        <v>476</v>
      </c>
      <c r="C61" s="243"/>
      <c r="D61" s="206" t="n">
        <f aca="false">'CUSTO M² NAV'!E38</f>
        <v>3.85448273428066</v>
      </c>
      <c r="E61" s="205" t="n">
        <f aca="false">E54</f>
        <v>3.69</v>
      </c>
      <c r="F61" s="239" t="str">
        <f aca="false">IF(D61="","Não se aplica",IF(AND(E61&lt;=D61,D61&gt;0),"SIM, está em conformidade.","NÃO, é inferior."))</f>
        <v>SIM, está em conformidade.</v>
      </c>
      <c r="G61" s="205" t="n">
        <f aca="false">G54</f>
        <v>4.44</v>
      </c>
      <c r="H61" s="244" t="str">
        <f aca="false">IF(D61="","Não se aplica",IF(D61&lt;=G61,"SIM, está em conformidade.","NÃO, é superior."))</f>
        <v>SIM, está em conformidade.</v>
      </c>
    </row>
    <row r="62" customFormat="false" ht="34.25" hidden="false" customHeight="true" outlineLevel="0" collapsed="false">
      <c r="B62" s="243" t="s">
        <v>477</v>
      </c>
      <c r="C62" s="243"/>
      <c r="D62" s="106" t="n">
        <f aca="false">'CUSTO M² NAV'!E43</f>
        <v>1.71310343745807</v>
      </c>
      <c r="E62" s="245" t="n">
        <f aca="false">E55</f>
        <v>1.64</v>
      </c>
      <c r="F62" s="239" t="str">
        <f aca="false">IF(D62="","Não se aplica",IF(AND(E62&lt;=D62,D62&gt;0),"SIM, está em conformidade.", "NÃO, é inferior."))</f>
        <v>SIM, está em conformidade.</v>
      </c>
      <c r="G62" s="245" t="n">
        <f aca="false">G55</f>
        <v>1.97</v>
      </c>
      <c r="H62" s="244" t="str">
        <f aca="false">IF(D62="","Não se aplica",IF(D62&lt;=G62,"SIM, está em conformidade.","NÃO, é superior."))</f>
        <v>SIM, está em conformidade.</v>
      </c>
    </row>
    <row r="63" customFormat="false" ht="34.25" hidden="false" customHeight="true" outlineLevel="0" collapsed="false">
      <c r="B63" s="243" t="s">
        <v>153</v>
      </c>
      <c r="C63" s="243"/>
      <c r="D63" s="206" t="n">
        <f aca="false">'CUSTO M² NAV'!E45</f>
        <v>0.872125386342291</v>
      </c>
      <c r="E63" s="205" t="n">
        <f aca="false">E56</f>
        <v>0.83</v>
      </c>
      <c r="F63" s="239" t="str">
        <f aca="false">IF(D63="","Não se aplica",IF(E63&lt;=D63,"SIM, está em conformidade.","NÃO, é inferior."))</f>
        <v>SIM, está em conformidade.</v>
      </c>
      <c r="G63" s="205" t="n">
        <f aca="false">G56</f>
        <v>1</v>
      </c>
      <c r="H63" s="244" t="str">
        <f aca="false">IF(D63="","Não se aplica",IF(D63&lt;=G63,"SIM, está em conformidade.","NÃO, é superior."))</f>
        <v>SIM, está em conformidade.</v>
      </c>
    </row>
    <row r="64" customFormat="false" ht="12.8" hidden="false" customHeight="false" outlineLevel="0" collapsed="false"/>
    <row r="65" customFormat="false" ht="12.8" hidden="false" customHeight="false" outlineLevel="0" collapsed="false"/>
    <row r="68" customFormat="false" ht="14.25" hidden="false" customHeight="false" outlineLevel="0" collapsed="false">
      <c r="G68" s="225"/>
    </row>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0">
    <mergeCell ref="B1:F1"/>
    <mergeCell ref="B2:D2"/>
    <mergeCell ref="B4:F4"/>
    <mergeCell ref="B12:E12"/>
    <mergeCell ref="B14:J14"/>
    <mergeCell ref="B15:C15"/>
    <mergeCell ref="B16:C16"/>
    <mergeCell ref="B17:C17"/>
    <mergeCell ref="B18:C18"/>
    <mergeCell ref="B20:H21"/>
    <mergeCell ref="B22:H22"/>
    <mergeCell ref="B23:C25"/>
    <mergeCell ref="D23:D25"/>
    <mergeCell ref="E23:F24"/>
    <mergeCell ref="G23:H24"/>
    <mergeCell ref="E25:F25"/>
    <mergeCell ref="G25:H25"/>
    <mergeCell ref="B26:C26"/>
    <mergeCell ref="B27:C27"/>
    <mergeCell ref="B28:C28"/>
    <mergeCell ref="B29:H29"/>
    <mergeCell ref="B30:C32"/>
    <mergeCell ref="D30:D32"/>
    <mergeCell ref="E30:F31"/>
    <mergeCell ref="G30:H31"/>
    <mergeCell ref="E32:F32"/>
    <mergeCell ref="G32:H32"/>
    <mergeCell ref="B33:C33"/>
    <mergeCell ref="B34:C34"/>
    <mergeCell ref="B35:C35"/>
    <mergeCell ref="B36:H36"/>
    <mergeCell ref="B37:C39"/>
    <mergeCell ref="D37:D39"/>
    <mergeCell ref="E37:F38"/>
    <mergeCell ref="G37:H38"/>
    <mergeCell ref="E39:F39"/>
    <mergeCell ref="G39:H39"/>
    <mergeCell ref="B40:C40"/>
    <mergeCell ref="B41:C41"/>
    <mergeCell ref="B42:C42"/>
    <mergeCell ref="B43:H43"/>
    <mergeCell ref="B44:C46"/>
    <mergeCell ref="D44:D46"/>
    <mergeCell ref="E44:F45"/>
    <mergeCell ref="G44:H45"/>
    <mergeCell ref="E46:F46"/>
    <mergeCell ref="G46:H46"/>
    <mergeCell ref="B47:C47"/>
    <mergeCell ref="B48:C48"/>
    <mergeCell ref="B49:C49"/>
    <mergeCell ref="B50:H50"/>
    <mergeCell ref="B51:C53"/>
    <mergeCell ref="D51:D53"/>
    <mergeCell ref="E51:F52"/>
    <mergeCell ref="G51:H52"/>
    <mergeCell ref="E53:F53"/>
    <mergeCell ref="G53:H53"/>
    <mergeCell ref="B54:C54"/>
    <mergeCell ref="B55:C55"/>
    <mergeCell ref="B56:C56"/>
    <mergeCell ref="B57:H57"/>
    <mergeCell ref="B58:C60"/>
    <mergeCell ref="D58:D60"/>
    <mergeCell ref="E58:F59"/>
    <mergeCell ref="G58:H59"/>
    <mergeCell ref="E60:F60"/>
    <mergeCell ref="G60:H60"/>
    <mergeCell ref="B61:C61"/>
    <mergeCell ref="B62:C62"/>
    <mergeCell ref="B63:C63"/>
  </mergeCells>
  <printOptions headings="false" gridLines="false" gridLinesSet="true" horizontalCentered="false" verticalCentered="false"/>
  <pageMargins left="0.170138888888889" right="0.170138888888889" top="0.329861111111111" bottom="0.170138888888889" header="0.511805555555555" footer="0.511805555555555"/>
  <pageSetup paperSize="9" scale="86"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246" width="9.13"/>
    <col collapsed="false" customWidth="true" hidden="false" outlineLevel="0" max="2" min="2" style="246" width="13.57"/>
    <col collapsed="false" customWidth="true" hidden="false" outlineLevel="0" max="10" min="3" style="246" width="9.71"/>
    <col collapsed="false" customWidth="true" hidden="false" outlineLevel="0" max="1025" min="11" style="246" width="9.13"/>
  </cols>
  <sheetData>
    <row r="1" customFormat="false" ht="17.25" hidden="false" customHeight="false" outlineLevel="0" collapsed="false">
      <c r="A1" s="247" t="s">
        <v>478</v>
      </c>
      <c r="B1" s="247"/>
      <c r="C1" s="247"/>
      <c r="D1" s="247"/>
      <c r="E1" s="247"/>
      <c r="F1" s="247"/>
      <c r="G1" s="247"/>
      <c r="H1" s="248"/>
      <c r="J1" s="249" t="s">
        <v>479</v>
      </c>
    </row>
    <row r="2" customFormat="false" ht="28.5" hidden="false" customHeight="true" outlineLevel="0" collapsed="false">
      <c r="A2" s="26" t="s">
        <v>480</v>
      </c>
      <c r="B2" s="47" t="s">
        <v>481</v>
      </c>
      <c r="C2" s="250" t="s">
        <v>482</v>
      </c>
      <c r="D2" s="250"/>
      <c r="E2" s="250" t="s">
        <v>483</v>
      </c>
      <c r="F2" s="250"/>
      <c r="G2" s="250" t="s">
        <v>484</v>
      </c>
      <c r="H2" s="250"/>
      <c r="I2" s="250" t="s">
        <v>485</v>
      </c>
      <c r="J2" s="250"/>
    </row>
    <row r="3" customFormat="false" ht="12" hidden="false" customHeight="true" outlineLevel="0" collapsed="false">
      <c r="A3" s="26"/>
      <c r="B3" s="47"/>
      <c r="C3" s="251" t="n">
        <v>600</v>
      </c>
      <c r="D3" s="252" t="s">
        <v>486</v>
      </c>
      <c r="E3" s="251" t="n">
        <v>1200</v>
      </c>
      <c r="F3" s="252" t="s">
        <v>486</v>
      </c>
      <c r="G3" s="251" t="n">
        <v>220</v>
      </c>
      <c r="H3" s="252" t="s">
        <v>486</v>
      </c>
      <c r="I3" s="251" t="n">
        <v>110</v>
      </c>
      <c r="J3" s="252" t="s">
        <v>486</v>
      </c>
    </row>
    <row r="4" customFormat="false" ht="33.75" hidden="false" customHeight="true" outlineLevel="0" collapsed="false">
      <c r="A4" s="26"/>
      <c r="B4" s="47"/>
      <c r="C4" s="253" t="s">
        <v>474</v>
      </c>
      <c r="D4" s="253" t="s">
        <v>475</v>
      </c>
      <c r="E4" s="253" t="s">
        <v>474</v>
      </c>
      <c r="F4" s="253" t="s">
        <v>475</v>
      </c>
      <c r="G4" s="253" t="s">
        <v>474</v>
      </c>
      <c r="H4" s="253" t="s">
        <v>475</v>
      </c>
      <c r="I4" s="253" t="s">
        <v>474</v>
      </c>
      <c r="J4" s="253" t="s">
        <v>475</v>
      </c>
    </row>
    <row r="5" customFormat="false" ht="16.5" hidden="false" customHeight="false" outlineLevel="0" collapsed="false">
      <c r="A5" s="254" t="s">
        <v>487</v>
      </c>
      <c r="B5" s="255" t="n">
        <v>42979</v>
      </c>
      <c r="C5" s="256" t="n">
        <v>4.76</v>
      </c>
      <c r="D5" s="256" t="n">
        <v>5.73</v>
      </c>
      <c r="E5" s="256" t="n">
        <v>2.38</v>
      </c>
      <c r="F5" s="256" t="n">
        <v>2.86</v>
      </c>
      <c r="G5" s="256" t="n">
        <v>1.1</v>
      </c>
      <c r="H5" s="256" t="n">
        <v>1.32</v>
      </c>
      <c r="I5" s="256" t="n">
        <v>0.24</v>
      </c>
      <c r="J5" s="256" t="n">
        <v>0.29</v>
      </c>
    </row>
    <row r="6" customFormat="false" ht="16.5" hidden="false" customHeight="false" outlineLevel="0" collapsed="false">
      <c r="A6" s="254" t="s">
        <v>488</v>
      </c>
      <c r="B6" s="255" t="n">
        <v>43287</v>
      </c>
      <c r="C6" s="257" t="n">
        <v>4.95</v>
      </c>
      <c r="D6" s="257" t="n">
        <v>5.96</v>
      </c>
      <c r="E6" s="257" t="n">
        <v>2.48</v>
      </c>
      <c r="F6" s="257" t="n">
        <v>2.98</v>
      </c>
      <c r="G6" s="257" t="n">
        <v>1.14</v>
      </c>
      <c r="H6" s="257" t="n">
        <v>1.38</v>
      </c>
      <c r="I6" s="257" t="n">
        <v>0.24</v>
      </c>
      <c r="J6" s="257" t="n">
        <v>0.29</v>
      </c>
    </row>
    <row r="7" customFormat="false" ht="16.5" hidden="false" customHeight="false" outlineLevel="0" collapsed="false">
      <c r="A7" s="254" t="s">
        <v>489</v>
      </c>
      <c r="B7" s="255" t="n">
        <v>43643</v>
      </c>
      <c r="C7" s="256" t="n">
        <v>3.87</v>
      </c>
      <c r="D7" s="256" t="n">
        <v>4.66</v>
      </c>
      <c r="E7" s="256" t="n">
        <v>2.58</v>
      </c>
      <c r="F7" s="256" t="n">
        <v>3.11</v>
      </c>
      <c r="G7" s="256" t="n">
        <v>1.72</v>
      </c>
      <c r="H7" s="256" t="n">
        <v>2.07</v>
      </c>
      <c r="I7" s="256" t="n">
        <v>1.15</v>
      </c>
      <c r="J7" s="256" t="n">
        <v>1.38</v>
      </c>
    </row>
    <row r="8" customFormat="false" ht="16.5" hidden="false" customHeight="false" outlineLevel="0" collapsed="false">
      <c r="A8" s="254" t="s">
        <v>490</v>
      </c>
      <c r="B8" s="255" t="n">
        <v>43349</v>
      </c>
      <c r="C8" s="257" t="n">
        <v>4.98</v>
      </c>
      <c r="D8" s="257" t="n">
        <v>5.99</v>
      </c>
      <c r="E8" s="257" t="n">
        <v>2.49</v>
      </c>
      <c r="F8" s="257" t="n">
        <v>3</v>
      </c>
      <c r="G8" s="257" t="n">
        <v>1.15</v>
      </c>
      <c r="H8" s="257" t="n">
        <v>1.39</v>
      </c>
      <c r="I8" s="257" t="n">
        <v>0.24</v>
      </c>
      <c r="J8" s="257" t="n">
        <v>0.29</v>
      </c>
    </row>
    <row r="9" customFormat="false" ht="16.5" hidden="false" customHeight="false" outlineLevel="0" collapsed="false">
      <c r="A9" s="254" t="s">
        <v>491</v>
      </c>
      <c r="B9" s="255" t="n">
        <v>42899</v>
      </c>
      <c r="C9" s="256" t="n">
        <v>4.65</v>
      </c>
      <c r="D9" s="256" t="n">
        <v>5.63</v>
      </c>
      <c r="E9" s="256" t="n">
        <v>2.32</v>
      </c>
      <c r="F9" s="256" t="n">
        <v>2.81</v>
      </c>
      <c r="G9" s="256" t="n">
        <v>1.07</v>
      </c>
      <c r="H9" s="256" t="n">
        <v>1.3</v>
      </c>
      <c r="I9" s="256" t="n">
        <v>0.22</v>
      </c>
      <c r="J9" s="256" t="n">
        <v>0.27</v>
      </c>
    </row>
    <row r="10" customFormat="false" ht="16.5" hidden="false" customHeight="false" outlineLevel="0" collapsed="false">
      <c r="A10" s="254" t="s">
        <v>492</v>
      </c>
      <c r="B10" s="255" t="n">
        <v>43690</v>
      </c>
      <c r="C10" s="257" t="n">
        <v>5.71</v>
      </c>
      <c r="D10" s="257" t="n">
        <v>6.87</v>
      </c>
      <c r="E10" s="257" t="n">
        <v>2.85</v>
      </c>
      <c r="F10" s="257" t="n">
        <v>3.44</v>
      </c>
      <c r="G10" s="257" t="n">
        <v>1.32</v>
      </c>
      <c r="H10" s="257" t="n">
        <v>1.59</v>
      </c>
      <c r="I10" s="257" t="n">
        <v>0.27</v>
      </c>
      <c r="J10" s="257" t="n">
        <v>0.32</v>
      </c>
    </row>
    <row r="11" customFormat="false" ht="16.5" hidden="false" customHeight="false" outlineLevel="0" collapsed="false">
      <c r="A11" s="254" t="s">
        <v>493</v>
      </c>
      <c r="B11" s="255" t="n">
        <v>43593</v>
      </c>
      <c r="C11" s="256" t="n">
        <v>5.6</v>
      </c>
      <c r="D11" s="256" t="n">
        <v>6.73</v>
      </c>
      <c r="E11" s="256" t="n">
        <v>3.73</v>
      </c>
      <c r="F11" s="256" t="n">
        <v>4.48</v>
      </c>
      <c r="G11" s="256" t="n">
        <v>2.49</v>
      </c>
      <c r="H11" s="256" t="n">
        <v>2.99</v>
      </c>
      <c r="I11" s="256" t="n">
        <v>1.66</v>
      </c>
      <c r="J11" s="256" t="n">
        <v>1.99</v>
      </c>
    </row>
    <row r="12" customFormat="false" ht="16.5" hidden="false" customHeight="false" outlineLevel="0" collapsed="false">
      <c r="A12" s="254" t="s">
        <v>494</v>
      </c>
      <c r="B12" s="255" t="n">
        <v>43234</v>
      </c>
      <c r="C12" s="257" t="n">
        <v>6.06</v>
      </c>
      <c r="D12" s="257" t="n">
        <v>7.3</v>
      </c>
      <c r="E12" s="257" t="n">
        <v>3.03</v>
      </c>
      <c r="F12" s="257" t="n">
        <v>3.65</v>
      </c>
      <c r="G12" s="257" t="n">
        <v>1.4</v>
      </c>
      <c r="H12" s="257" t="n">
        <v>1.69</v>
      </c>
      <c r="I12" s="257" t="n">
        <v>0.28</v>
      </c>
      <c r="J12" s="257" t="n">
        <v>0.34</v>
      </c>
    </row>
    <row r="13" customFormat="false" ht="16.5" hidden="false" customHeight="false" outlineLevel="0" collapsed="false">
      <c r="A13" s="254" t="s">
        <v>495</v>
      </c>
      <c r="B13" s="255" t="n">
        <v>43690</v>
      </c>
      <c r="C13" s="256" t="n">
        <v>5.26</v>
      </c>
      <c r="D13" s="256" t="n">
        <v>6.33</v>
      </c>
      <c r="E13" s="256" t="n">
        <v>2.63</v>
      </c>
      <c r="F13" s="256" t="n">
        <v>3.17</v>
      </c>
      <c r="G13" s="256" t="n">
        <v>1.22</v>
      </c>
      <c r="H13" s="256" t="n">
        <v>1.46</v>
      </c>
      <c r="I13" s="256" t="n">
        <v>0.41</v>
      </c>
      <c r="J13" s="256" t="n">
        <v>0.49</v>
      </c>
    </row>
    <row r="14" customFormat="false" ht="16.5" hidden="false" customHeight="false" outlineLevel="0" collapsed="false">
      <c r="A14" s="254" t="s">
        <v>496</v>
      </c>
      <c r="B14" s="255" t="n">
        <v>43734</v>
      </c>
      <c r="C14" s="257" t="n">
        <v>5.48</v>
      </c>
      <c r="D14" s="257" t="n">
        <v>6.6</v>
      </c>
      <c r="E14" s="257" t="n">
        <v>2.74</v>
      </c>
      <c r="F14" s="257" t="n">
        <v>3.3</v>
      </c>
      <c r="G14" s="257" t="n">
        <v>1.27</v>
      </c>
      <c r="H14" s="257" t="n">
        <v>1.53</v>
      </c>
      <c r="I14" s="257" t="n">
        <v>0.26</v>
      </c>
      <c r="J14" s="257" t="n">
        <v>0.31</v>
      </c>
    </row>
    <row r="15" customFormat="false" ht="16.5" hidden="false" customHeight="false" outlineLevel="0" collapsed="false">
      <c r="A15" s="254" t="s">
        <v>497</v>
      </c>
      <c r="B15" s="255" t="n">
        <v>43643</v>
      </c>
      <c r="C15" s="256" t="n">
        <v>5.85</v>
      </c>
      <c r="D15" s="256" t="n">
        <v>7.04</v>
      </c>
      <c r="E15" s="256" t="n">
        <v>2.92</v>
      </c>
      <c r="F15" s="256" t="n">
        <v>3.52</v>
      </c>
      <c r="G15" s="256" t="n">
        <v>1.35</v>
      </c>
      <c r="H15" s="256" t="n">
        <v>1.63</v>
      </c>
      <c r="I15" s="256" t="n">
        <v>0.3</v>
      </c>
      <c r="J15" s="256" t="n">
        <v>0.36</v>
      </c>
    </row>
    <row r="16" customFormat="false" ht="16.5" hidden="false" customHeight="false" outlineLevel="0" collapsed="false">
      <c r="A16" s="254" t="s">
        <v>21</v>
      </c>
      <c r="B16" s="255" t="n">
        <v>43643</v>
      </c>
      <c r="C16" s="257" t="n">
        <v>4.92</v>
      </c>
      <c r="D16" s="257" t="n">
        <v>5.92</v>
      </c>
      <c r="E16" s="257" t="n">
        <v>2.46</v>
      </c>
      <c r="F16" s="257" t="n">
        <v>2.96</v>
      </c>
      <c r="G16" s="257" t="n">
        <v>1.14</v>
      </c>
      <c r="H16" s="257" t="n">
        <v>1.37</v>
      </c>
      <c r="I16" s="257" t="n">
        <v>0.24</v>
      </c>
      <c r="J16" s="257" t="n">
        <v>0.29</v>
      </c>
    </row>
    <row r="17" customFormat="false" ht="16.5" hidden="false" customHeight="false" outlineLevel="0" collapsed="false">
      <c r="A17" s="254" t="s">
        <v>498</v>
      </c>
      <c r="B17" s="255" t="n">
        <v>43287</v>
      </c>
      <c r="C17" s="256" t="n">
        <v>5.62</v>
      </c>
      <c r="D17" s="256" t="n">
        <v>6.77</v>
      </c>
      <c r="E17" s="256" t="n">
        <v>2.81</v>
      </c>
      <c r="F17" s="256" t="n">
        <v>3.38</v>
      </c>
      <c r="G17" s="256" t="n">
        <v>1.3</v>
      </c>
      <c r="H17" s="256" t="n">
        <v>1.56</v>
      </c>
      <c r="I17" s="256" t="n">
        <v>0.3</v>
      </c>
      <c r="J17" s="256" t="n">
        <v>0.35</v>
      </c>
    </row>
    <row r="18" customFormat="false" ht="16.5" hidden="false" customHeight="false" outlineLevel="0" collapsed="false">
      <c r="A18" s="254" t="s">
        <v>499</v>
      </c>
      <c r="B18" s="255" t="n">
        <v>43690</v>
      </c>
      <c r="C18" s="257" t="n">
        <v>5.59</v>
      </c>
      <c r="D18" s="257" t="n">
        <v>6.72</v>
      </c>
      <c r="E18" s="257" t="n">
        <v>2.79</v>
      </c>
      <c r="F18" s="257" t="n">
        <v>3.36</v>
      </c>
      <c r="G18" s="257" t="n">
        <v>1.29</v>
      </c>
      <c r="H18" s="257" t="n">
        <v>1.55</v>
      </c>
      <c r="I18" s="257" t="n">
        <v>0.27</v>
      </c>
      <c r="J18" s="257" t="n">
        <v>0.33</v>
      </c>
    </row>
    <row r="19" customFormat="false" ht="16.5" hidden="false" customHeight="false" outlineLevel="0" collapsed="false">
      <c r="A19" s="254" t="s">
        <v>500</v>
      </c>
      <c r="B19" s="255" t="n">
        <v>43409</v>
      </c>
      <c r="C19" s="256" t="n">
        <v>4.65</v>
      </c>
      <c r="D19" s="256" t="n">
        <v>5.6</v>
      </c>
      <c r="E19" s="256" t="n">
        <v>2.33</v>
      </c>
      <c r="F19" s="256" t="n">
        <v>2.8</v>
      </c>
      <c r="G19" s="256" t="n">
        <v>1.08</v>
      </c>
      <c r="H19" s="256" t="n">
        <v>1.29</v>
      </c>
      <c r="I19" s="256" t="n">
        <v>0.23</v>
      </c>
      <c r="J19" s="256" t="n">
        <v>0.27</v>
      </c>
    </row>
    <row r="20" customFormat="false" ht="16.5" hidden="false" customHeight="false" outlineLevel="0" collapsed="false">
      <c r="A20" s="254" t="s">
        <v>501</v>
      </c>
      <c r="B20" s="255" t="n">
        <v>43734</v>
      </c>
      <c r="C20" s="257" t="n">
        <v>5.11</v>
      </c>
      <c r="D20" s="257" t="n">
        <v>6.15</v>
      </c>
      <c r="E20" s="257" t="n">
        <v>2.56</v>
      </c>
      <c r="F20" s="257" t="n">
        <v>3.08</v>
      </c>
      <c r="G20" s="257" t="n">
        <v>1.18</v>
      </c>
      <c r="H20" s="257" t="n">
        <v>1.42</v>
      </c>
      <c r="I20" s="257" t="n">
        <v>0.25</v>
      </c>
      <c r="J20" s="257" t="n">
        <v>0.29</v>
      </c>
    </row>
    <row r="21" customFormat="false" ht="16.5" hidden="false" customHeight="false" outlineLevel="0" collapsed="false">
      <c r="A21" s="254" t="s">
        <v>502</v>
      </c>
      <c r="B21" s="255" t="n">
        <v>43349</v>
      </c>
      <c r="C21" s="256" t="n">
        <v>5.06</v>
      </c>
      <c r="D21" s="256" t="n">
        <v>6.09</v>
      </c>
      <c r="E21" s="256" t="n">
        <v>2.53</v>
      </c>
      <c r="F21" s="256" t="n">
        <v>3.05</v>
      </c>
      <c r="G21" s="256" t="n">
        <v>1.17</v>
      </c>
      <c r="H21" s="256" t="n">
        <v>1.41</v>
      </c>
      <c r="I21" s="256" t="n">
        <v>0.27</v>
      </c>
      <c r="J21" s="256" t="n">
        <v>0.33</v>
      </c>
    </row>
    <row r="22" customFormat="false" ht="16.5" hidden="false" customHeight="false" outlineLevel="0" collapsed="false">
      <c r="A22" s="254" t="s">
        <v>503</v>
      </c>
      <c r="B22" s="255" t="n">
        <v>43734</v>
      </c>
      <c r="C22" s="257" t="n">
        <v>6.16</v>
      </c>
      <c r="D22" s="257" t="n">
        <v>7.41</v>
      </c>
      <c r="E22" s="257" t="n">
        <v>3.08</v>
      </c>
      <c r="F22" s="257" t="n">
        <v>3.71</v>
      </c>
      <c r="G22" s="257" t="n">
        <v>1.42</v>
      </c>
      <c r="H22" s="257" t="n">
        <v>1.71</v>
      </c>
      <c r="I22" s="257" t="n">
        <v>0.29</v>
      </c>
      <c r="J22" s="257" t="n">
        <v>0.35</v>
      </c>
    </row>
    <row r="23" customFormat="false" ht="16.5" hidden="false" customHeight="false" outlineLevel="0" collapsed="false">
      <c r="A23" s="254" t="s">
        <v>504</v>
      </c>
      <c r="B23" s="255" t="n">
        <v>43734</v>
      </c>
      <c r="C23" s="256" t="n">
        <v>6.11</v>
      </c>
      <c r="D23" s="256" t="n">
        <v>7.35</v>
      </c>
      <c r="E23" s="256" t="n">
        <v>3.05</v>
      </c>
      <c r="F23" s="256" t="n">
        <v>3.68</v>
      </c>
      <c r="G23" s="256" t="n">
        <v>1.41</v>
      </c>
      <c r="H23" s="256" t="n">
        <v>1.7</v>
      </c>
      <c r="I23" s="256" t="n">
        <v>0.35</v>
      </c>
      <c r="J23" s="256" t="n">
        <v>0.42</v>
      </c>
    </row>
    <row r="24" customFormat="false" ht="16.5" hidden="false" customHeight="false" outlineLevel="0" collapsed="false">
      <c r="A24" s="254" t="s">
        <v>505</v>
      </c>
      <c r="B24" s="255" t="n">
        <v>43734</v>
      </c>
      <c r="C24" s="257" t="n">
        <v>5.1</v>
      </c>
      <c r="D24" s="257" t="n">
        <v>6.14</v>
      </c>
      <c r="E24" s="257" t="n">
        <v>2.55</v>
      </c>
      <c r="F24" s="257" t="n">
        <v>3.07</v>
      </c>
      <c r="G24" s="257" t="n">
        <v>1.18</v>
      </c>
      <c r="H24" s="257" t="n">
        <v>1.42</v>
      </c>
      <c r="I24" s="257" t="n">
        <v>0.24</v>
      </c>
      <c r="J24" s="257" t="n">
        <v>0.29</v>
      </c>
    </row>
    <row r="25" customFormat="false" ht="16.5" hidden="false" customHeight="false" outlineLevel="0" collapsed="false">
      <c r="A25" s="254" t="s">
        <v>506</v>
      </c>
      <c r="B25" s="255" t="n">
        <v>43734</v>
      </c>
      <c r="C25" s="256" t="n">
        <v>5.83</v>
      </c>
      <c r="D25" s="256" t="n">
        <v>7.02</v>
      </c>
      <c r="E25" s="256" t="n">
        <v>2.92</v>
      </c>
      <c r="F25" s="256" t="n">
        <v>3.51</v>
      </c>
      <c r="G25" s="256" t="n">
        <v>1.35</v>
      </c>
      <c r="H25" s="256" t="n">
        <v>1.62</v>
      </c>
      <c r="I25" s="256" t="n">
        <v>0.31</v>
      </c>
      <c r="J25" s="256" t="n">
        <v>0.37</v>
      </c>
    </row>
    <row r="26" customFormat="false" ht="16.5" hidden="false" customHeight="false" outlineLevel="0" collapsed="false">
      <c r="A26" s="254" t="s">
        <v>507</v>
      </c>
      <c r="B26" s="255" t="n">
        <v>42989</v>
      </c>
      <c r="C26" s="257" t="n">
        <v>5.45</v>
      </c>
      <c r="D26" s="257" t="n">
        <v>6.6</v>
      </c>
      <c r="E26" s="257" t="n">
        <v>2.72</v>
      </c>
      <c r="F26" s="257" t="n">
        <v>3.3</v>
      </c>
      <c r="G26" s="257" t="n">
        <v>1.26</v>
      </c>
      <c r="H26" s="257" t="n">
        <v>1.53</v>
      </c>
      <c r="I26" s="257" t="n">
        <v>0.31</v>
      </c>
      <c r="J26" s="257" t="n">
        <v>0.38</v>
      </c>
    </row>
    <row r="27" customFormat="false" ht="16.5" hidden="false" customHeight="false" outlineLevel="0" collapsed="false">
      <c r="A27" s="254" t="s">
        <v>508</v>
      </c>
      <c r="B27" s="255" t="n">
        <v>43643</v>
      </c>
      <c r="C27" s="256" t="n">
        <v>6.28</v>
      </c>
      <c r="D27" s="256" t="n">
        <v>7.56</v>
      </c>
      <c r="E27" s="256" t="n">
        <v>3.14</v>
      </c>
      <c r="F27" s="256" t="n">
        <v>3.78</v>
      </c>
      <c r="G27" s="256" t="n">
        <v>1.45</v>
      </c>
      <c r="H27" s="256" t="n">
        <v>1.75</v>
      </c>
      <c r="I27" s="256" t="n">
        <v>0.3</v>
      </c>
      <c r="J27" s="256" t="n">
        <v>0.36</v>
      </c>
    </row>
    <row r="28" customFormat="false" ht="16.5" hidden="false" customHeight="false" outlineLevel="0" collapsed="false">
      <c r="A28" s="254" t="s">
        <v>509</v>
      </c>
      <c r="B28" s="255" t="n">
        <v>43690</v>
      </c>
      <c r="C28" s="257" t="n">
        <v>6.61</v>
      </c>
      <c r="D28" s="257" t="n">
        <v>7.96</v>
      </c>
      <c r="E28" s="257" t="n">
        <v>3.3</v>
      </c>
      <c r="F28" s="257" t="n">
        <v>3.98</v>
      </c>
      <c r="G28" s="257" t="n">
        <v>1.53</v>
      </c>
      <c r="H28" s="257" t="n">
        <v>1.84</v>
      </c>
      <c r="I28" s="257" t="n">
        <v>0.32</v>
      </c>
      <c r="J28" s="257" t="n">
        <v>0.39</v>
      </c>
    </row>
    <row r="29" customFormat="false" ht="16.5" hidden="false" customHeight="false" outlineLevel="0" collapsed="false">
      <c r="A29" s="254" t="s">
        <v>510</v>
      </c>
      <c r="B29" s="255" t="n">
        <v>43349</v>
      </c>
      <c r="C29" s="256" t="n">
        <v>4.73</v>
      </c>
      <c r="D29" s="256" t="n">
        <v>5.7</v>
      </c>
      <c r="E29" s="256" t="n">
        <v>2.37</v>
      </c>
      <c r="F29" s="256" t="n">
        <v>2.85</v>
      </c>
      <c r="G29" s="256" t="n">
        <v>1.09</v>
      </c>
      <c r="H29" s="256" t="n">
        <v>1.32</v>
      </c>
      <c r="I29" s="256" t="n">
        <v>0.22</v>
      </c>
      <c r="J29" s="256" t="n">
        <v>0.27</v>
      </c>
    </row>
    <row r="30" customFormat="false" ht="16.5" hidden="false" customHeight="false" outlineLevel="0" collapsed="false">
      <c r="A30" s="254" t="s">
        <v>511</v>
      </c>
      <c r="B30" s="255" t="n">
        <v>43349</v>
      </c>
      <c r="C30" s="257" t="n">
        <v>5.75</v>
      </c>
      <c r="D30" s="257" t="n">
        <v>6.93</v>
      </c>
      <c r="E30" s="257" t="n">
        <v>2.88</v>
      </c>
      <c r="F30" s="257" t="n">
        <v>3.46</v>
      </c>
      <c r="G30" s="257" t="n">
        <v>1.33</v>
      </c>
      <c r="H30" s="257" t="n">
        <v>1.6</v>
      </c>
      <c r="I30" s="257" t="n">
        <v>0.29</v>
      </c>
      <c r="J30" s="257" t="n">
        <v>0.34</v>
      </c>
    </row>
    <row r="31" customFormat="false" ht="16.5" hidden="false" customHeight="false" outlineLevel="0" collapsed="false">
      <c r="A31" s="254" t="s">
        <v>512</v>
      </c>
      <c r="B31" s="255" t="n">
        <v>43280</v>
      </c>
      <c r="C31" s="256" t="n">
        <v>5.52</v>
      </c>
      <c r="D31" s="256" t="n">
        <v>6.64</v>
      </c>
      <c r="E31" s="256" t="n">
        <v>2.76</v>
      </c>
      <c r="F31" s="256" t="n">
        <v>3.32</v>
      </c>
      <c r="G31" s="256" t="n">
        <v>1.28</v>
      </c>
      <c r="H31" s="256" t="n">
        <v>1.53</v>
      </c>
      <c r="I31" s="256" t="n">
        <v>0.42</v>
      </c>
      <c r="J31" s="256" t="n">
        <v>0.5</v>
      </c>
    </row>
    <row r="32" customFormat="false" ht="16.5" hidden="false" customHeight="false" outlineLevel="0" collapsed="false">
      <c r="A32" s="254" t="s">
        <v>513</v>
      </c>
      <c r="B32" s="254"/>
      <c r="C32" s="258" t="n">
        <f aca="false">AVERAGE(C5:C31)</f>
        <v>5.39481481481482</v>
      </c>
      <c r="D32" s="258" t="n">
        <f aca="false">AVERAGE(D5:D31)</f>
        <v>6.4962962962963</v>
      </c>
      <c r="E32" s="258" t="n">
        <f aca="false">AVERAGE(E5:E31)</f>
        <v>2.75555555555556</v>
      </c>
      <c r="F32" s="258" t="n">
        <f aca="false">AVERAGE(F5:F31)</f>
        <v>3.31888888888889</v>
      </c>
      <c r="G32" s="258" t="n">
        <f aca="false">AVERAGE(G5:G31)</f>
        <v>1.32185185185185</v>
      </c>
      <c r="H32" s="258" t="n">
        <f aca="false">AVERAGE(H5:H31)</f>
        <v>1.59148148148148</v>
      </c>
      <c r="I32" s="258" t="n">
        <f aca="false">AVERAGE(I5:I31)</f>
        <v>0.365925925925926</v>
      </c>
      <c r="J32" s="258" t="n">
        <f aca="false">AVERAGE(J5:J31)</f>
        <v>0.439259259259259</v>
      </c>
    </row>
    <row r="33" customFormat="false" ht="16.5" hidden="false" customHeight="true" outlineLevel="0" collapsed="false">
      <c r="A33" s="259" t="s">
        <v>514</v>
      </c>
      <c r="B33" s="259"/>
      <c r="C33" s="258" t="n">
        <f aca="false">SMALL(C5:C31,27)</f>
        <v>6.61</v>
      </c>
      <c r="D33" s="258" t="n">
        <f aca="false">SMALL(D5:D31,27)</f>
        <v>7.96</v>
      </c>
      <c r="E33" s="258" t="n">
        <f aca="false">SMALL(E5:E31,27)</f>
        <v>3.73</v>
      </c>
      <c r="F33" s="258" t="n">
        <f aca="false">SMALL(F5:F31,27)</f>
        <v>4.48</v>
      </c>
      <c r="G33" s="258" t="n">
        <f aca="false">SMALL(G5:G31,27)</f>
        <v>2.49</v>
      </c>
      <c r="H33" s="258" t="n">
        <f aca="false">SMALL(H5:H31,27)</f>
        <v>2.99</v>
      </c>
      <c r="I33" s="258" t="n">
        <f aca="false">SMALL(I5:I31,27)</f>
        <v>1.66</v>
      </c>
      <c r="J33" s="258" t="n">
        <f aca="false">SMALL(J5:J31,27)</f>
        <v>1.99</v>
      </c>
    </row>
    <row r="34" customFormat="false" ht="16.5" hidden="false" customHeight="true" outlineLevel="0" collapsed="false">
      <c r="A34" s="259" t="s">
        <v>515</v>
      </c>
      <c r="B34" s="259"/>
      <c r="C34" s="258" t="n">
        <f aca="false">LARGE(C6:C32,27)</f>
        <v>3.87</v>
      </c>
      <c r="D34" s="258" t="n">
        <f aca="false">LARGE(D6:D32,27)</f>
        <v>4.66</v>
      </c>
      <c r="E34" s="258" t="n">
        <f aca="false">LARGE(E6:E32,27)</f>
        <v>2.32</v>
      </c>
      <c r="F34" s="258" t="n">
        <f aca="false">LARGE(F6:F32,27)</f>
        <v>2.8</v>
      </c>
      <c r="G34" s="258" t="n">
        <f aca="false">LARGE(G6:G32,27)</f>
        <v>1.07</v>
      </c>
      <c r="H34" s="258" t="n">
        <f aca="false">LARGE(H6:H32,27)</f>
        <v>1.29</v>
      </c>
      <c r="I34" s="258" t="n">
        <f aca="false">LARGE(I6:I32,27)</f>
        <v>0.22</v>
      </c>
      <c r="J34" s="258" t="n">
        <f aca="false">LARGE(J6:J32,27)</f>
        <v>0.27</v>
      </c>
    </row>
  </sheetData>
  <mergeCells count="9">
    <mergeCell ref="A2:A4"/>
    <mergeCell ref="B2:B4"/>
    <mergeCell ref="C2:D2"/>
    <mergeCell ref="E2:F2"/>
    <mergeCell ref="G2:H2"/>
    <mergeCell ref="I2:J2"/>
    <mergeCell ref="A32:B32"/>
    <mergeCell ref="A33:B33"/>
    <mergeCell ref="A34:B34"/>
  </mergeCells>
  <printOptions headings="false" gridLines="false" gridLinesSet="true" horizontalCentered="true" verticalCentered="true"/>
  <pageMargins left="0.157638888888889" right="0.157638888888889" top="0.170138888888889" bottom="0.170138888888889"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sheetPr filterMode="false">
    <pageSetUpPr fitToPage="false"/>
  </sheetPr>
  <dimension ref="A1:R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246" width="4.43"/>
    <col collapsed="false" customWidth="true" hidden="false" outlineLevel="0" max="2" min="2" style="246" width="10.42"/>
    <col collapsed="false" customWidth="true" hidden="false" outlineLevel="0" max="18" min="3" style="246" width="7"/>
    <col collapsed="false" customWidth="true" hidden="false" outlineLevel="0" max="1025" min="19" style="246" width="9.13"/>
  </cols>
  <sheetData>
    <row r="1" customFormat="false" ht="17.25" hidden="false" customHeight="false" outlineLevel="0" collapsed="false">
      <c r="A1" s="247" t="s">
        <v>516</v>
      </c>
      <c r="B1" s="247"/>
      <c r="C1" s="247"/>
      <c r="D1" s="247"/>
      <c r="E1" s="247"/>
      <c r="F1" s="247"/>
      <c r="G1" s="247"/>
      <c r="H1" s="247"/>
      <c r="I1" s="247"/>
      <c r="J1" s="247"/>
      <c r="K1" s="247"/>
      <c r="L1" s="248"/>
      <c r="M1" s="248"/>
      <c r="N1" s="248"/>
      <c r="Q1" s="248"/>
      <c r="R1" s="249" t="s">
        <v>479</v>
      </c>
    </row>
    <row r="2" customFormat="false" ht="16.5" hidden="false" customHeight="true" outlineLevel="0" collapsed="false">
      <c r="A2" s="26" t="s">
        <v>480</v>
      </c>
      <c r="B2" s="47" t="s">
        <v>481</v>
      </c>
      <c r="C2" s="260" t="s">
        <v>303</v>
      </c>
      <c r="D2" s="260"/>
      <c r="E2" s="260"/>
      <c r="F2" s="260"/>
      <c r="G2" s="261" t="s">
        <v>304</v>
      </c>
      <c r="H2" s="261"/>
      <c r="I2" s="261"/>
      <c r="J2" s="261"/>
      <c r="K2" s="261" t="s">
        <v>305</v>
      </c>
      <c r="L2" s="261"/>
      <c r="M2" s="261"/>
      <c r="N2" s="261"/>
      <c r="O2" s="262" t="s">
        <v>517</v>
      </c>
      <c r="P2" s="262"/>
      <c r="Q2" s="262"/>
      <c r="R2" s="262"/>
    </row>
    <row r="3" customFormat="false" ht="6.75" hidden="false" customHeight="true" outlineLevel="0" collapsed="false">
      <c r="A3" s="26"/>
      <c r="B3" s="47"/>
      <c r="C3" s="260"/>
      <c r="D3" s="260"/>
      <c r="E3" s="260"/>
      <c r="F3" s="260"/>
      <c r="G3" s="261"/>
      <c r="H3" s="261"/>
      <c r="I3" s="261"/>
      <c r="J3" s="261"/>
      <c r="K3" s="261"/>
      <c r="L3" s="261"/>
      <c r="M3" s="261"/>
      <c r="N3" s="261"/>
      <c r="O3" s="262"/>
      <c r="P3" s="262"/>
      <c r="Q3" s="262"/>
      <c r="R3" s="262"/>
    </row>
    <row r="4" customFormat="false" ht="16.5" hidden="false" customHeight="true" outlineLevel="0" collapsed="false">
      <c r="A4" s="26"/>
      <c r="B4" s="47"/>
      <c r="C4" s="263" t="n">
        <v>800</v>
      </c>
      <c r="D4" s="264" t="s">
        <v>518</v>
      </c>
      <c r="E4" s="263" t="n">
        <v>1200</v>
      </c>
      <c r="F4" s="265" t="s">
        <v>518</v>
      </c>
      <c r="G4" s="263" t="n">
        <v>1800</v>
      </c>
      <c r="H4" s="264" t="s">
        <v>518</v>
      </c>
      <c r="I4" s="263" t="n">
        <v>2700</v>
      </c>
      <c r="J4" s="265" t="s">
        <v>518</v>
      </c>
      <c r="K4" s="263" t="n">
        <v>300</v>
      </c>
      <c r="L4" s="264" t="s">
        <v>518</v>
      </c>
      <c r="M4" s="263" t="n">
        <v>380</v>
      </c>
      <c r="N4" s="265" t="s">
        <v>518</v>
      </c>
      <c r="O4" s="263" t="n">
        <v>130</v>
      </c>
      <c r="P4" s="264" t="s">
        <v>518</v>
      </c>
      <c r="Q4" s="263" t="n">
        <v>160</v>
      </c>
      <c r="R4" s="265" t="s">
        <v>518</v>
      </c>
    </row>
    <row r="5" customFormat="false" ht="33" hidden="false" customHeight="false" outlineLevel="0" collapsed="false">
      <c r="A5" s="26"/>
      <c r="B5" s="47"/>
      <c r="C5" s="253" t="s">
        <v>519</v>
      </c>
      <c r="D5" s="253" t="s">
        <v>520</v>
      </c>
      <c r="E5" s="253" t="s">
        <v>519</v>
      </c>
      <c r="F5" s="253" t="s">
        <v>520</v>
      </c>
      <c r="G5" s="253" t="s">
        <v>519</v>
      </c>
      <c r="H5" s="253" t="s">
        <v>520</v>
      </c>
      <c r="I5" s="253" t="s">
        <v>519</v>
      </c>
      <c r="J5" s="253" t="s">
        <v>520</v>
      </c>
      <c r="K5" s="253" t="s">
        <v>519</v>
      </c>
      <c r="L5" s="253" t="s">
        <v>520</v>
      </c>
      <c r="M5" s="253" t="s">
        <v>519</v>
      </c>
      <c r="N5" s="253" t="s">
        <v>520</v>
      </c>
      <c r="O5" s="253" t="s">
        <v>519</v>
      </c>
      <c r="P5" s="253" t="s">
        <v>520</v>
      </c>
      <c r="Q5" s="253" t="s">
        <v>519</v>
      </c>
      <c r="R5" s="253" t="s">
        <v>520</v>
      </c>
    </row>
    <row r="6" customFormat="false" ht="16.5" hidden="false" customHeight="false" outlineLevel="0" collapsed="false">
      <c r="A6" s="254" t="s">
        <v>487</v>
      </c>
      <c r="B6" s="266" t="n">
        <v>43349</v>
      </c>
      <c r="C6" s="256" t="n">
        <v>3.57</v>
      </c>
      <c r="D6" s="256" t="n">
        <v>4.3</v>
      </c>
      <c r="E6" s="256" t="n">
        <v>2.38</v>
      </c>
      <c r="F6" s="256" t="n">
        <v>2.86</v>
      </c>
      <c r="G6" s="256" t="n">
        <v>1.59</v>
      </c>
      <c r="H6" s="256" t="n">
        <v>1.98</v>
      </c>
      <c r="I6" s="256" t="n">
        <v>1.06</v>
      </c>
      <c r="J6" s="256" t="n">
        <v>1.27</v>
      </c>
      <c r="K6" s="256" t="n">
        <v>0.81</v>
      </c>
      <c r="L6" s="256" t="n">
        <v>0.97</v>
      </c>
      <c r="M6" s="256" t="n">
        <v>0.64</v>
      </c>
      <c r="N6" s="256" t="n">
        <v>0.77</v>
      </c>
      <c r="O6" s="256" t="n">
        <v>0.2</v>
      </c>
      <c r="P6" s="256" t="n">
        <v>0.24</v>
      </c>
      <c r="Q6" s="256" t="n">
        <v>0.17</v>
      </c>
      <c r="R6" s="256" t="n">
        <v>0.2</v>
      </c>
    </row>
    <row r="7" customFormat="false" ht="16.5" hidden="false" customHeight="false" outlineLevel="0" collapsed="false">
      <c r="A7" s="254" t="s">
        <v>488</v>
      </c>
      <c r="B7" s="266" t="n">
        <v>43287</v>
      </c>
      <c r="C7" s="257" t="n">
        <v>3.71</v>
      </c>
      <c r="D7" s="257" t="n">
        <v>4.47</v>
      </c>
      <c r="E7" s="257" t="n">
        <v>2.48</v>
      </c>
      <c r="F7" s="257" t="n">
        <v>2.98</v>
      </c>
      <c r="G7" s="257" t="n">
        <v>1.65</v>
      </c>
      <c r="H7" s="257" t="n">
        <v>1.99</v>
      </c>
      <c r="I7" s="257" t="n">
        <v>1.1</v>
      </c>
      <c r="J7" s="257" t="n">
        <v>1.32</v>
      </c>
      <c r="K7" s="257" t="n">
        <v>0.84</v>
      </c>
      <c r="L7" s="257" t="n">
        <v>1.01</v>
      </c>
      <c r="M7" s="257" t="n">
        <v>0.66</v>
      </c>
      <c r="N7" s="257" t="n">
        <v>0.8</v>
      </c>
      <c r="O7" s="257" t="n">
        <v>0.2</v>
      </c>
      <c r="P7" s="257" t="n">
        <v>0.24</v>
      </c>
      <c r="Q7" s="257" t="n">
        <v>0.16</v>
      </c>
      <c r="R7" s="257" t="n">
        <v>0.2</v>
      </c>
    </row>
    <row r="8" customFormat="false" ht="16.5" hidden="false" customHeight="false" outlineLevel="0" collapsed="false">
      <c r="A8" s="254" t="s">
        <v>489</v>
      </c>
      <c r="B8" s="266" t="n">
        <v>43643</v>
      </c>
      <c r="C8" s="256" t="n">
        <v>3.87</v>
      </c>
      <c r="D8" s="256" t="n">
        <v>4.66</v>
      </c>
      <c r="E8" s="256" t="n">
        <v>2.58</v>
      </c>
      <c r="F8" s="256" t="n">
        <v>3.11</v>
      </c>
      <c r="G8" s="256" t="n">
        <v>1.72</v>
      </c>
      <c r="H8" s="256" t="n">
        <v>2.07</v>
      </c>
      <c r="I8" s="256" t="n">
        <v>1.15</v>
      </c>
      <c r="J8" s="256" t="n">
        <v>1.38</v>
      </c>
      <c r="K8" s="256" t="n">
        <v>0.88</v>
      </c>
      <c r="L8" s="256" t="n">
        <v>1.05</v>
      </c>
      <c r="M8" s="256" t="n">
        <v>0.69</v>
      </c>
      <c r="N8" s="256" t="n">
        <v>0.83</v>
      </c>
      <c r="O8" s="256" t="n">
        <v>0.26</v>
      </c>
      <c r="P8" s="256" t="n">
        <v>0.31</v>
      </c>
      <c r="Q8" s="256" t="n">
        <v>0.21</v>
      </c>
      <c r="R8" s="256" t="n">
        <v>0.26</v>
      </c>
    </row>
    <row r="9" customFormat="false" ht="16.5" hidden="false" customHeight="false" outlineLevel="0" collapsed="false">
      <c r="A9" s="254" t="s">
        <v>490</v>
      </c>
      <c r="B9" s="266" t="n">
        <v>43349</v>
      </c>
      <c r="C9" s="257" t="n">
        <v>3.73</v>
      </c>
      <c r="D9" s="257" t="n">
        <v>4.5</v>
      </c>
      <c r="E9" s="257" t="n">
        <v>2.49</v>
      </c>
      <c r="F9" s="257" t="n">
        <v>3</v>
      </c>
      <c r="G9" s="257" t="n">
        <v>1.66</v>
      </c>
      <c r="H9" s="257" t="n">
        <v>2</v>
      </c>
      <c r="I9" s="257" t="n">
        <v>1.11</v>
      </c>
      <c r="J9" s="257" t="n">
        <v>1.33</v>
      </c>
      <c r="K9" s="257" t="n">
        <v>0.84</v>
      </c>
      <c r="L9" s="257" t="n">
        <v>1.02</v>
      </c>
      <c r="M9" s="257" t="n">
        <v>0.67</v>
      </c>
      <c r="N9" s="257" t="n">
        <v>0.8</v>
      </c>
      <c r="O9" s="257" t="n">
        <v>0.2</v>
      </c>
      <c r="P9" s="257" t="n">
        <v>0.24</v>
      </c>
      <c r="Q9" s="257" t="n">
        <v>0.17</v>
      </c>
      <c r="R9" s="257" t="n">
        <v>0.2</v>
      </c>
    </row>
    <row r="10" customFormat="false" ht="16.5" hidden="false" customHeight="false" outlineLevel="0" collapsed="false">
      <c r="A10" s="254" t="s">
        <v>491</v>
      </c>
      <c r="B10" s="266" t="n">
        <v>43013</v>
      </c>
      <c r="C10" s="256" t="n">
        <v>3.49</v>
      </c>
      <c r="D10" s="256" t="n">
        <v>4.22</v>
      </c>
      <c r="E10" s="256" t="n">
        <v>2.32</v>
      </c>
      <c r="F10" s="256" t="n">
        <v>2.81</v>
      </c>
      <c r="G10" s="256" t="n">
        <v>1.55</v>
      </c>
      <c r="H10" s="256" t="n">
        <v>1.88</v>
      </c>
      <c r="I10" s="256" t="n">
        <v>1.03</v>
      </c>
      <c r="J10" s="256" t="n">
        <v>1.25</v>
      </c>
      <c r="K10" s="256" t="n">
        <v>0.79</v>
      </c>
      <c r="L10" s="256" t="n">
        <v>0.95</v>
      </c>
      <c r="M10" s="256" t="n">
        <v>0.62</v>
      </c>
      <c r="N10" s="256" t="n">
        <v>0.75</v>
      </c>
      <c r="O10" s="256" t="n">
        <v>0.19</v>
      </c>
      <c r="P10" s="256" t="n">
        <v>0.23</v>
      </c>
      <c r="Q10" s="256" t="n">
        <v>0.15</v>
      </c>
      <c r="R10" s="256" t="n">
        <v>0.18</v>
      </c>
    </row>
    <row r="11" customFormat="false" ht="16.5" hidden="false" customHeight="false" outlineLevel="0" collapsed="false">
      <c r="A11" s="254" t="s">
        <v>492</v>
      </c>
      <c r="B11" s="266" t="n">
        <v>43690</v>
      </c>
      <c r="C11" s="257" t="n">
        <v>4.28</v>
      </c>
      <c r="D11" s="257" t="n">
        <v>5.15</v>
      </c>
      <c r="E11" s="257" t="n">
        <v>2.85</v>
      </c>
      <c r="F11" s="257" t="n">
        <v>3.44</v>
      </c>
      <c r="G11" s="257" t="n">
        <v>1.9</v>
      </c>
      <c r="H11" s="257" t="n">
        <v>2.29</v>
      </c>
      <c r="I11" s="257" t="n">
        <v>1.27</v>
      </c>
      <c r="J11" s="257" t="n">
        <v>1.53</v>
      </c>
      <c r="K11" s="257" t="n">
        <v>0.97</v>
      </c>
      <c r="L11" s="257" t="n">
        <v>1.16</v>
      </c>
      <c r="M11" s="257" t="n">
        <v>0.76</v>
      </c>
      <c r="N11" s="257" t="n">
        <v>0.92</v>
      </c>
      <c r="O11" s="257" t="n">
        <v>0.23</v>
      </c>
      <c r="P11" s="257" t="n">
        <v>0.27</v>
      </c>
      <c r="Q11" s="257" t="n">
        <v>0.18</v>
      </c>
      <c r="R11" s="257" t="n">
        <v>0.22</v>
      </c>
    </row>
    <row r="12" customFormat="false" ht="16.5" hidden="false" customHeight="false" outlineLevel="0" collapsed="false">
      <c r="A12" s="254" t="s">
        <v>493</v>
      </c>
      <c r="B12" s="266" t="n">
        <v>43593</v>
      </c>
      <c r="C12" s="256" t="n">
        <v>5.6</v>
      </c>
      <c r="D12" s="256" t="n">
        <v>6.73</v>
      </c>
      <c r="E12" s="256" t="n">
        <v>3.73</v>
      </c>
      <c r="F12" s="256" t="n">
        <v>4.48</v>
      </c>
      <c r="G12" s="256" t="n">
        <v>2.49</v>
      </c>
      <c r="H12" s="256" t="n">
        <v>2.99</v>
      </c>
      <c r="I12" s="256" t="n">
        <v>1.66</v>
      </c>
      <c r="J12" s="256" t="n">
        <v>1.99</v>
      </c>
      <c r="K12" s="256" t="n">
        <v>1.26</v>
      </c>
      <c r="L12" s="256" t="n">
        <v>1.52</v>
      </c>
      <c r="M12" s="256" t="n">
        <v>1</v>
      </c>
      <c r="N12" s="256" t="n">
        <v>1.2</v>
      </c>
      <c r="O12" s="256" t="n">
        <v>0.4</v>
      </c>
      <c r="P12" s="256" t="n">
        <v>0.48</v>
      </c>
      <c r="Q12" s="256" t="n">
        <v>0.33</v>
      </c>
      <c r="R12" s="256" t="n">
        <v>0.39</v>
      </c>
    </row>
    <row r="13" customFormat="false" ht="16.5" hidden="false" customHeight="false" outlineLevel="0" collapsed="false">
      <c r="A13" s="254" t="s">
        <v>494</v>
      </c>
      <c r="B13" s="266" t="n">
        <v>43234</v>
      </c>
      <c r="C13" s="257" t="n">
        <v>4.55</v>
      </c>
      <c r="D13" s="257" t="n">
        <v>5.48</v>
      </c>
      <c r="E13" s="257" t="n">
        <v>3.03</v>
      </c>
      <c r="F13" s="257" t="n">
        <v>3.65</v>
      </c>
      <c r="G13" s="257" t="n">
        <v>2.02</v>
      </c>
      <c r="H13" s="257" t="n">
        <v>2.43</v>
      </c>
      <c r="I13" s="257" t="n">
        <v>1.35</v>
      </c>
      <c r="J13" s="257" t="n">
        <v>1.62</v>
      </c>
      <c r="K13" s="257" t="n">
        <v>1.03</v>
      </c>
      <c r="L13" s="257" t="n">
        <v>1.24</v>
      </c>
      <c r="M13" s="257" t="n">
        <v>0.81</v>
      </c>
      <c r="N13" s="257" t="n">
        <v>0.98</v>
      </c>
      <c r="O13" s="257" t="n">
        <v>0.24</v>
      </c>
      <c r="P13" s="257" t="n">
        <v>0.29</v>
      </c>
      <c r="Q13" s="257" t="n">
        <v>0.19</v>
      </c>
      <c r="R13" s="257" t="n">
        <v>0.23</v>
      </c>
    </row>
    <row r="14" customFormat="false" ht="16.5" hidden="false" customHeight="false" outlineLevel="0" collapsed="false">
      <c r="A14" s="254" t="s">
        <v>495</v>
      </c>
      <c r="B14" s="266" t="n">
        <v>43690</v>
      </c>
      <c r="C14" s="256" t="n">
        <v>3.94</v>
      </c>
      <c r="D14" s="256" t="n">
        <v>4.75</v>
      </c>
      <c r="E14" s="256" t="n">
        <v>2.63</v>
      </c>
      <c r="F14" s="256" t="n">
        <v>3.17</v>
      </c>
      <c r="G14" s="256" t="n">
        <v>1.75</v>
      </c>
      <c r="H14" s="256" t="n">
        <v>2.11</v>
      </c>
      <c r="I14" s="256" t="n">
        <v>1.17</v>
      </c>
      <c r="J14" s="256" t="n">
        <v>1.41</v>
      </c>
      <c r="K14" s="256" t="n">
        <v>0.89</v>
      </c>
      <c r="L14" s="256" t="n">
        <v>1.07</v>
      </c>
      <c r="M14" s="256" t="n">
        <v>0.7</v>
      </c>
      <c r="N14" s="256" t="n">
        <v>0.85</v>
      </c>
      <c r="O14" s="256" t="n">
        <v>0.34</v>
      </c>
      <c r="P14" s="256" t="n">
        <v>0.41</v>
      </c>
      <c r="Q14" s="256" t="n">
        <v>0.28</v>
      </c>
      <c r="R14" s="256" t="n">
        <v>0.33</v>
      </c>
    </row>
    <row r="15" customFormat="false" ht="16.5" hidden="false" customHeight="false" outlineLevel="0" collapsed="false">
      <c r="A15" s="254" t="s">
        <v>496</v>
      </c>
      <c r="B15" s="266" t="n">
        <v>43734</v>
      </c>
      <c r="C15" s="257" t="n">
        <v>4.11</v>
      </c>
      <c r="D15" s="257" t="n">
        <v>4.95</v>
      </c>
      <c r="E15" s="257" t="n">
        <v>2.74</v>
      </c>
      <c r="F15" s="257" t="n">
        <v>3.3</v>
      </c>
      <c r="G15" s="257" t="n">
        <v>1.83</v>
      </c>
      <c r="H15" s="257" t="n">
        <v>2.2</v>
      </c>
      <c r="I15" s="257" t="n">
        <v>1.22</v>
      </c>
      <c r="J15" s="257" t="n">
        <v>1.47</v>
      </c>
      <c r="K15" s="257" t="n">
        <v>0.93</v>
      </c>
      <c r="L15" s="257" t="n">
        <v>1.12</v>
      </c>
      <c r="M15" s="257" t="n">
        <v>0.73</v>
      </c>
      <c r="N15" s="257" t="n">
        <v>0.88</v>
      </c>
      <c r="O15" s="257" t="n">
        <v>0.22</v>
      </c>
      <c r="P15" s="257" t="n">
        <v>0.27</v>
      </c>
      <c r="Q15" s="257" t="n">
        <v>0.18</v>
      </c>
      <c r="R15" s="257" t="n">
        <v>0.22</v>
      </c>
    </row>
    <row r="16" customFormat="false" ht="16.5" hidden="false" customHeight="false" outlineLevel="0" collapsed="false">
      <c r="A16" s="254" t="s">
        <v>497</v>
      </c>
      <c r="B16" s="266" t="n">
        <v>43643</v>
      </c>
      <c r="C16" s="256" t="n">
        <v>4.38</v>
      </c>
      <c r="D16" s="256" t="n">
        <v>5.28</v>
      </c>
      <c r="E16" s="256" t="n">
        <v>2.92</v>
      </c>
      <c r="F16" s="256" t="n">
        <v>3.52</v>
      </c>
      <c r="G16" s="256" t="n">
        <v>1.95</v>
      </c>
      <c r="H16" s="256" t="n">
        <v>2.35</v>
      </c>
      <c r="I16" s="256" t="n">
        <v>1.3</v>
      </c>
      <c r="J16" s="256" t="n">
        <v>1.56</v>
      </c>
      <c r="K16" s="256" t="n">
        <v>0.99</v>
      </c>
      <c r="L16" s="256" t="n">
        <v>1.19</v>
      </c>
      <c r="M16" s="256" t="n">
        <v>0.78</v>
      </c>
      <c r="N16" s="256" t="n">
        <v>0.94</v>
      </c>
      <c r="O16" s="256" t="n">
        <v>0.25</v>
      </c>
      <c r="P16" s="256" t="n">
        <v>0.3</v>
      </c>
      <c r="Q16" s="256" t="n">
        <v>0.21</v>
      </c>
      <c r="R16" s="256" t="n">
        <v>0.25</v>
      </c>
    </row>
    <row r="17" customFormat="false" ht="16.5" hidden="false" customHeight="false" outlineLevel="0" collapsed="false">
      <c r="A17" s="254" t="s">
        <v>21</v>
      </c>
      <c r="B17" s="266" t="n">
        <v>43735</v>
      </c>
      <c r="C17" s="257" t="n">
        <v>3.69</v>
      </c>
      <c r="D17" s="257" t="n">
        <v>4.44</v>
      </c>
      <c r="E17" s="257" t="n">
        <v>2.46</v>
      </c>
      <c r="F17" s="257" t="n">
        <v>2.96</v>
      </c>
      <c r="G17" s="257" t="n">
        <v>1.64</v>
      </c>
      <c r="H17" s="257" t="n">
        <v>1.97</v>
      </c>
      <c r="I17" s="257" t="n">
        <v>1.09</v>
      </c>
      <c r="J17" s="257" t="n">
        <v>1.32</v>
      </c>
      <c r="K17" s="257" t="n">
        <v>0.83</v>
      </c>
      <c r="L17" s="257" t="n">
        <v>1</v>
      </c>
      <c r="M17" s="257" t="n">
        <v>0.66</v>
      </c>
      <c r="N17" s="257" t="n">
        <v>0.79</v>
      </c>
      <c r="O17" s="257" t="n">
        <v>0.21</v>
      </c>
      <c r="P17" s="257" t="n">
        <v>0.25</v>
      </c>
      <c r="Q17" s="257" t="n">
        <v>0.17</v>
      </c>
      <c r="R17" s="257" t="n">
        <v>0.2</v>
      </c>
    </row>
    <row r="18" customFormat="false" ht="16.5" hidden="false" customHeight="false" outlineLevel="0" collapsed="false">
      <c r="A18" s="254" t="s">
        <v>498</v>
      </c>
      <c r="B18" s="266" t="n">
        <v>43287</v>
      </c>
      <c r="C18" s="256" t="n">
        <v>4.22</v>
      </c>
      <c r="D18" s="256" t="n">
        <v>5.08</v>
      </c>
      <c r="E18" s="256" t="n">
        <v>2.81</v>
      </c>
      <c r="F18" s="256" t="n">
        <v>3.38</v>
      </c>
      <c r="G18" s="256" t="n">
        <v>1.87</v>
      </c>
      <c r="H18" s="256" t="n">
        <v>2.26</v>
      </c>
      <c r="I18" s="256" t="n">
        <v>1.25</v>
      </c>
      <c r="J18" s="256" t="n">
        <v>1.5</v>
      </c>
      <c r="K18" s="256" t="n">
        <v>0.95</v>
      </c>
      <c r="L18" s="256" t="n">
        <v>1.15</v>
      </c>
      <c r="M18" s="256" t="n">
        <v>0.75</v>
      </c>
      <c r="N18" s="256" t="n">
        <v>0.91</v>
      </c>
      <c r="O18" s="256" t="n">
        <v>0.25</v>
      </c>
      <c r="P18" s="256" t="n">
        <v>0.3</v>
      </c>
      <c r="Q18" s="256" t="n">
        <v>0.2</v>
      </c>
      <c r="R18" s="256" t="n">
        <v>0.24</v>
      </c>
    </row>
    <row r="19" customFormat="false" ht="16.5" hidden="false" customHeight="false" outlineLevel="0" collapsed="false">
      <c r="A19" s="254" t="s">
        <v>499</v>
      </c>
      <c r="B19" s="266" t="n">
        <v>43690</v>
      </c>
      <c r="C19" s="257" t="n">
        <v>4.19</v>
      </c>
      <c r="D19" s="257" t="n">
        <v>5.04</v>
      </c>
      <c r="E19" s="257" t="n">
        <v>2.79</v>
      </c>
      <c r="F19" s="257" t="n">
        <v>3.36</v>
      </c>
      <c r="G19" s="257" t="n">
        <v>1.86</v>
      </c>
      <c r="H19" s="257" t="n">
        <v>2.24</v>
      </c>
      <c r="I19" s="257" t="n">
        <v>1.24</v>
      </c>
      <c r="J19" s="257" t="n">
        <v>1.49</v>
      </c>
      <c r="K19" s="257" t="n">
        <v>0.95</v>
      </c>
      <c r="L19" s="257" t="n">
        <v>1.14</v>
      </c>
      <c r="M19" s="257" t="n">
        <v>0.75</v>
      </c>
      <c r="N19" s="257" t="n">
        <v>0.9</v>
      </c>
      <c r="O19" s="257" t="n">
        <v>0.23</v>
      </c>
      <c r="P19" s="257" t="n">
        <v>0.28</v>
      </c>
      <c r="Q19" s="257" t="n">
        <v>0.19</v>
      </c>
      <c r="R19" s="257" t="n">
        <v>0.22</v>
      </c>
    </row>
    <row r="20" customFormat="false" ht="16.5" hidden="false" customHeight="false" outlineLevel="0" collapsed="false">
      <c r="A20" s="254" t="s">
        <v>500</v>
      </c>
      <c r="B20" s="266" t="n">
        <v>43409</v>
      </c>
      <c r="C20" s="256" t="n">
        <v>3.49</v>
      </c>
      <c r="D20" s="256" t="n">
        <v>4.2</v>
      </c>
      <c r="E20" s="256" t="n">
        <v>2.33</v>
      </c>
      <c r="F20" s="256" t="n">
        <v>2.8</v>
      </c>
      <c r="G20" s="256" t="n">
        <v>1.55</v>
      </c>
      <c r="H20" s="256" t="n">
        <v>1.87</v>
      </c>
      <c r="I20" s="256" t="n">
        <v>1.03</v>
      </c>
      <c r="J20" s="256" t="n">
        <v>1.24</v>
      </c>
      <c r="K20" s="256" t="n">
        <v>0.79</v>
      </c>
      <c r="L20" s="256" t="n">
        <v>0.95</v>
      </c>
      <c r="M20" s="256" t="n">
        <v>0.62</v>
      </c>
      <c r="N20" s="256" t="n">
        <v>0.75</v>
      </c>
      <c r="O20" s="256" t="n">
        <v>0.19</v>
      </c>
      <c r="P20" s="256" t="n">
        <v>0.23</v>
      </c>
      <c r="Q20" s="256" t="n">
        <v>0.16</v>
      </c>
      <c r="R20" s="256" t="n">
        <v>0.19</v>
      </c>
    </row>
    <row r="21" customFormat="false" ht="16.5" hidden="false" customHeight="false" outlineLevel="0" collapsed="false">
      <c r="A21" s="254" t="s">
        <v>501</v>
      </c>
      <c r="B21" s="266" t="n">
        <v>43734</v>
      </c>
      <c r="C21" s="257" t="n">
        <v>3.83</v>
      </c>
      <c r="D21" s="257" t="n">
        <v>4.62</v>
      </c>
      <c r="E21" s="257" t="n">
        <v>2.56</v>
      </c>
      <c r="F21" s="257" t="n">
        <v>3.08</v>
      </c>
      <c r="G21" s="257" t="n">
        <v>1.7</v>
      </c>
      <c r="H21" s="257" t="n">
        <v>2.05</v>
      </c>
      <c r="I21" s="257" t="n">
        <v>1.14</v>
      </c>
      <c r="J21" s="257" t="n">
        <v>1.37</v>
      </c>
      <c r="K21" s="257" t="n">
        <v>0.87</v>
      </c>
      <c r="L21" s="257" t="n">
        <v>1.04</v>
      </c>
      <c r="M21" s="257" t="n">
        <v>0.68</v>
      </c>
      <c r="N21" s="257" t="n">
        <v>0.82</v>
      </c>
      <c r="O21" s="257" t="n">
        <v>0.21</v>
      </c>
      <c r="P21" s="257" t="n">
        <v>0.25</v>
      </c>
      <c r="Q21" s="257" t="n">
        <v>0.17</v>
      </c>
      <c r="R21" s="257" t="n">
        <v>0.2</v>
      </c>
    </row>
    <row r="22" customFormat="false" ht="16.5" hidden="false" customHeight="false" outlineLevel="0" collapsed="false">
      <c r="A22" s="254" t="s">
        <v>502</v>
      </c>
      <c r="B22" s="266" t="n">
        <v>43349</v>
      </c>
      <c r="C22" s="256" t="n">
        <v>3.8</v>
      </c>
      <c r="D22" s="256" t="n">
        <v>4.57</v>
      </c>
      <c r="E22" s="256" t="n">
        <v>2.53</v>
      </c>
      <c r="F22" s="256" t="n">
        <v>3.05</v>
      </c>
      <c r="G22" s="256" t="n">
        <v>1.69</v>
      </c>
      <c r="H22" s="256" t="n">
        <v>2.03</v>
      </c>
      <c r="I22" s="256" t="n">
        <v>1.12</v>
      </c>
      <c r="J22" s="256" t="n">
        <v>1.35</v>
      </c>
      <c r="K22" s="256" t="n">
        <v>0.86</v>
      </c>
      <c r="L22" s="256" t="n">
        <v>1.03</v>
      </c>
      <c r="M22" s="256" t="n">
        <v>0.68</v>
      </c>
      <c r="N22" s="256" t="n">
        <v>0.82</v>
      </c>
      <c r="O22" s="256" t="n">
        <v>0.23</v>
      </c>
      <c r="P22" s="256" t="n">
        <v>0.28</v>
      </c>
      <c r="Q22" s="256" t="n">
        <v>0.19</v>
      </c>
      <c r="R22" s="256" t="n">
        <v>0.22</v>
      </c>
    </row>
    <row r="23" customFormat="false" ht="16.5" hidden="false" customHeight="false" outlineLevel="0" collapsed="false">
      <c r="A23" s="254" t="s">
        <v>503</v>
      </c>
      <c r="B23" s="266" t="n">
        <v>43734</v>
      </c>
      <c r="C23" s="257" t="n">
        <v>4.62</v>
      </c>
      <c r="D23" s="257" t="n">
        <v>5.56</v>
      </c>
      <c r="E23" s="257" t="n">
        <v>3.08</v>
      </c>
      <c r="F23" s="257" t="n">
        <v>3.71</v>
      </c>
      <c r="G23" s="257" t="n">
        <v>2.05</v>
      </c>
      <c r="H23" s="257" t="n">
        <v>2.47</v>
      </c>
      <c r="I23" s="257" t="n">
        <v>1.37</v>
      </c>
      <c r="J23" s="257" t="n">
        <v>1.65</v>
      </c>
      <c r="K23" s="257" t="n">
        <v>1.04</v>
      </c>
      <c r="L23" s="257" t="n">
        <v>1.26</v>
      </c>
      <c r="M23" s="257" t="n">
        <v>0.82</v>
      </c>
      <c r="N23" s="257" t="n">
        <v>0.99</v>
      </c>
      <c r="O23" s="257" t="n">
        <v>0.25</v>
      </c>
      <c r="P23" s="257" t="n">
        <v>0.3</v>
      </c>
      <c r="Q23" s="257" t="n">
        <v>0.2</v>
      </c>
      <c r="R23" s="257" t="n">
        <v>0.24</v>
      </c>
    </row>
    <row r="24" customFormat="false" ht="16.5" hidden="false" customHeight="false" outlineLevel="0" collapsed="false">
      <c r="A24" s="254" t="s">
        <v>504</v>
      </c>
      <c r="B24" s="266" t="n">
        <v>43734</v>
      </c>
      <c r="C24" s="256" t="n">
        <v>4.58</v>
      </c>
      <c r="D24" s="256" t="n">
        <v>5.52</v>
      </c>
      <c r="E24" s="256" t="n">
        <v>3.05</v>
      </c>
      <c r="F24" s="256" t="n">
        <v>3.68</v>
      </c>
      <c r="G24" s="256" t="n">
        <v>2.04</v>
      </c>
      <c r="H24" s="256" t="n">
        <v>2.45</v>
      </c>
      <c r="I24" s="256" t="n">
        <v>1.36</v>
      </c>
      <c r="J24" s="256" t="n">
        <v>1.63</v>
      </c>
      <c r="K24" s="256" t="n">
        <v>1.04</v>
      </c>
      <c r="L24" s="256" t="n">
        <v>1.25</v>
      </c>
      <c r="M24" s="256" t="n">
        <v>0.82</v>
      </c>
      <c r="N24" s="256" t="n">
        <v>0.98</v>
      </c>
      <c r="O24" s="256" t="n">
        <v>0.3</v>
      </c>
      <c r="P24" s="256" t="n">
        <v>0.35</v>
      </c>
      <c r="Q24" s="256" t="n">
        <v>0.24</v>
      </c>
      <c r="R24" s="256" t="n">
        <v>0.29</v>
      </c>
    </row>
    <row r="25" customFormat="false" ht="16.5" hidden="false" customHeight="false" outlineLevel="0" collapsed="false">
      <c r="A25" s="254" t="s">
        <v>505</v>
      </c>
      <c r="B25" s="266" t="n">
        <v>43734</v>
      </c>
      <c r="C25" s="257" t="n">
        <v>3.83</v>
      </c>
      <c r="D25" s="257" t="n">
        <v>4.61</v>
      </c>
      <c r="E25" s="257" t="n">
        <v>2.55</v>
      </c>
      <c r="F25" s="257" t="n">
        <v>3.07</v>
      </c>
      <c r="G25" s="257" t="n">
        <v>1.7</v>
      </c>
      <c r="H25" s="257" t="n">
        <v>2.05</v>
      </c>
      <c r="I25" s="257" t="n">
        <v>1.13</v>
      </c>
      <c r="J25" s="257" t="n">
        <v>1.36</v>
      </c>
      <c r="K25" s="257" t="n">
        <v>0.86</v>
      </c>
      <c r="L25" s="257" t="n">
        <v>1.04</v>
      </c>
      <c r="M25" s="257" t="n">
        <v>0.68</v>
      </c>
      <c r="N25" s="257" t="n">
        <v>0.82</v>
      </c>
      <c r="O25" s="257" t="n">
        <v>0.2</v>
      </c>
      <c r="P25" s="257" t="n">
        <v>0.24</v>
      </c>
      <c r="Q25" s="257" t="n">
        <v>0.16</v>
      </c>
      <c r="R25" s="257" t="n">
        <v>0.2</v>
      </c>
    </row>
    <row r="26" customFormat="false" ht="16.5" hidden="false" customHeight="false" outlineLevel="0" collapsed="false">
      <c r="A26" s="254" t="s">
        <v>506</v>
      </c>
      <c r="B26" s="266" t="n">
        <v>43734</v>
      </c>
      <c r="C26" s="256" t="n">
        <v>4.37</v>
      </c>
      <c r="D26" s="256" t="n">
        <v>5.26</v>
      </c>
      <c r="E26" s="256" t="n">
        <v>2.92</v>
      </c>
      <c r="F26" s="256" t="n">
        <v>3.51</v>
      </c>
      <c r="G26" s="256" t="n">
        <v>1.94</v>
      </c>
      <c r="H26" s="256" t="n">
        <v>2.34</v>
      </c>
      <c r="I26" s="256" t="n">
        <v>1.3</v>
      </c>
      <c r="J26" s="256" t="n">
        <v>1.56</v>
      </c>
      <c r="K26" s="256" t="n">
        <v>0.99</v>
      </c>
      <c r="L26" s="256" t="n">
        <v>1.19</v>
      </c>
      <c r="M26" s="256" t="n">
        <v>0.78</v>
      </c>
      <c r="N26" s="256" t="n">
        <v>0.94</v>
      </c>
      <c r="O26" s="256" t="n">
        <v>0.27</v>
      </c>
      <c r="P26" s="256" t="n">
        <v>0.32</v>
      </c>
      <c r="Q26" s="256" t="n">
        <v>0.22</v>
      </c>
      <c r="R26" s="256" t="n">
        <v>0.26</v>
      </c>
    </row>
    <row r="27" customFormat="false" ht="16.5" hidden="false" customHeight="false" outlineLevel="0" collapsed="false">
      <c r="A27" s="254" t="s">
        <v>507</v>
      </c>
      <c r="B27" s="266" t="n">
        <v>43017</v>
      </c>
      <c r="C27" s="257" t="n">
        <v>4.09</v>
      </c>
      <c r="D27" s="257" t="n">
        <v>4.95</v>
      </c>
      <c r="E27" s="257" t="n">
        <v>2.72</v>
      </c>
      <c r="F27" s="257" t="n">
        <v>3.3</v>
      </c>
      <c r="G27" s="257" t="n">
        <v>1.82</v>
      </c>
      <c r="H27" s="257" t="n">
        <v>2.2</v>
      </c>
      <c r="I27" s="257" t="n">
        <v>1.21</v>
      </c>
      <c r="J27" s="257" t="n">
        <v>1.47</v>
      </c>
      <c r="K27" s="257" t="n">
        <v>0.92</v>
      </c>
      <c r="L27" s="257" t="n">
        <v>1.12</v>
      </c>
      <c r="M27" s="257" t="n">
        <v>0.73</v>
      </c>
      <c r="N27" s="257" t="n">
        <v>0.88</v>
      </c>
      <c r="O27" s="257" t="n">
        <v>0.27</v>
      </c>
      <c r="P27" s="257" t="n">
        <v>0.32</v>
      </c>
      <c r="Q27" s="257" t="n">
        <v>0.22</v>
      </c>
      <c r="R27" s="257" t="n">
        <v>0.26</v>
      </c>
    </row>
    <row r="28" customFormat="false" ht="16.5" hidden="false" customHeight="false" outlineLevel="0" collapsed="false">
      <c r="A28" s="254" t="s">
        <v>508</v>
      </c>
      <c r="B28" s="266" t="n">
        <v>43643</v>
      </c>
      <c r="C28" s="256" t="n">
        <v>4.71</v>
      </c>
      <c r="D28" s="256" t="n">
        <v>5.67</v>
      </c>
      <c r="E28" s="256" t="n">
        <v>3.14</v>
      </c>
      <c r="F28" s="256" t="n">
        <v>3.78</v>
      </c>
      <c r="G28" s="256" t="n">
        <v>2.09</v>
      </c>
      <c r="H28" s="256" t="n">
        <v>2.52</v>
      </c>
      <c r="I28" s="256" t="n">
        <v>1.39</v>
      </c>
      <c r="J28" s="256" t="n">
        <v>1.68</v>
      </c>
      <c r="K28" s="256" t="n">
        <v>1.06</v>
      </c>
      <c r="L28" s="256" t="n">
        <v>1.28</v>
      </c>
      <c r="M28" s="256" t="n">
        <v>0.84</v>
      </c>
      <c r="N28" s="256" t="n">
        <v>1.01</v>
      </c>
      <c r="O28" s="256" t="n">
        <v>0.26</v>
      </c>
      <c r="P28" s="256" t="n">
        <v>0.31</v>
      </c>
      <c r="Q28" s="256" t="n">
        <v>0.21</v>
      </c>
      <c r="R28" s="256" t="n">
        <v>0.25</v>
      </c>
    </row>
    <row r="29" customFormat="false" ht="16.5" hidden="false" customHeight="false" outlineLevel="0" collapsed="false">
      <c r="A29" s="254" t="s">
        <v>509</v>
      </c>
      <c r="B29" s="266" t="n">
        <v>43690</v>
      </c>
      <c r="C29" s="257" t="n">
        <v>4.95</v>
      </c>
      <c r="D29" s="257" t="n">
        <v>5.97</v>
      </c>
      <c r="E29" s="257" t="n">
        <v>3.3</v>
      </c>
      <c r="F29" s="257" t="n">
        <v>3.98</v>
      </c>
      <c r="G29" s="257" t="n">
        <v>2.2</v>
      </c>
      <c r="H29" s="257" t="n">
        <v>2.65</v>
      </c>
      <c r="I29" s="257" t="n">
        <v>1.47</v>
      </c>
      <c r="J29" s="257" t="n">
        <v>1.77</v>
      </c>
      <c r="K29" s="257" t="n">
        <v>1.12</v>
      </c>
      <c r="L29" s="257" t="n">
        <v>1.35</v>
      </c>
      <c r="M29" s="257" t="n">
        <v>0.88</v>
      </c>
      <c r="N29" s="257" t="n">
        <v>1.07</v>
      </c>
      <c r="O29" s="257" t="n">
        <v>0.27</v>
      </c>
      <c r="P29" s="257" t="n">
        <v>0.33</v>
      </c>
      <c r="Q29" s="257" t="n">
        <v>0.22</v>
      </c>
      <c r="R29" s="257" t="n">
        <v>0.27</v>
      </c>
    </row>
    <row r="30" customFormat="false" ht="16.5" hidden="false" customHeight="false" outlineLevel="0" collapsed="false">
      <c r="A30" s="254" t="s">
        <v>510</v>
      </c>
      <c r="B30" s="266" t="n">
        <v>43349</v>
      </c>
      <c r="C30" s="256" t="n">
        <v>3.55</v>
      </c>
      <c r="D30" s="256" t="n">
        <v>4.28</v>
      </c>
      <c r="E30" s="256" t="n">
        <v>2.37</v>
      </c>
      <c r="F30" s="256" t="n">
        <v>2.85</v>
      </c>
      <c r="G30" s="256" t="n">
        <v>1.58</v>
      </c>
      <c r="H30" s="256" t="n">
        <v>1.9</v>
      </c>
      <c r="I30" s="256" t="n">
        <v>1.05</v>
      </c>
      <c r="J30" s="256" t="n">
        <v>1.27</v>
      </c>
      <c r="K30" s="256" t="n">
        <v>0.8</v>
      </c>
      <c r="L30" s="256" t="n">
        <v>0.97</v>
      </c>
      <c r="M30" s="256" t="n">
        <v>0.63</v>
      </c>
      <c r="N30" s="256" t="n">
        <v>0.76</v>
      </c>
      <c r="O30" s="256" t="n">
        <v>0.19</v>
      </c>
      <c r="P30" s="256" t="n">
        <v>0.23</v>
      </c>
      <c r="Q30" s="256" t="n">
        <v>0.15</v>
      </c>
      <c r="R30" s="256" t="n">
        <v>0.18</v>
      </c>
    </row>
    <row r="31" customFormat="false" ht="16.5" hidden="false" customHeight="false" outlineLevel="0" collapsed="false">
      <c r="A31" s="254" t="s">
        <v>511</v>
      </c>
      <c r="B31" s="266" t="n">
        <v>43349</v>
      </c>
      <c r="C31" s="257" t="n">
        <v>4.32</v>
      </c>
      <c r="D31" s="257" t="n">
        <v>5.2</v>
      </c>
      <c r="E31" s="257" t="n">
        <v>2.88</v>
      </c>
      <c r="F31" s="257" t="n">
        <v>3.46</v>
      </c>
      <c r="G31" s="257" t="n">
        <v>1.92</v>
      </c>
      <c r="H31" s="257" t="n">
        <v>2.31</v>
      </c>
      <c r="I31" s="257" t="n">
        <v>1.28</v>
      </c>
      <c r="J31" s="257" t="n">
        <v>1.54</v>
      </c>
      <c r="K31" s="257" t="n">
        <v>0.98</v>
      </c>
      <c r="L31" s="257" t="n">
        <v>1.17</v>
      </c>
      <c r="M31" s="257" t="n">
        <v>0.77</v>
      </c>
      <c r="N31" s="257" t="n">
        <v>0.93</v>
      </c>
      <c r="O31" s="257" t="n">
        <v>0.24</v>
      </c>
      <c r="P31" s="257" t="n">
        <v>0.29</v>
      </c>
      <c r="Q31" s="257" t="n">
        <v>0.2</v>
      </c>
      <c r="R31" s="257" t="n">
        <v>0.24</v>
      </c>
    </row>
    <row r="32" customFormat="false" ht="16.5" hidden="false" customHeight="false" outlineLevel="0" collapsed="false">
      <c r="A32" s="254" t="s">
        <v>512</v>
      </c>
      <c r="B32" s="266" t="n">
        <v>43280</v>
      </c>
      <c r="C32" s="256" t="n">
        <v>4.14</v>
      </c>
      <c r="D32" s="256" t="n">
        <v>4.98</v>
      </c>
      <c r="E32" s="256" t="n">
        <v>2.76</v>
      </c>
      <c r="F32" s="256" t="n">
        <v>3.32</v>
      </c>
      <c r="G32" s="256" t="n">
        <v>1.84</v>
      </c>
      <c r="H32" s="256" t="n">
        <v>2.21</v>
      </c>
      <c r="I32" s="256" t="n">
        <v>1.23</v>
      </c>
      <c r="J32" s="256" t="n">
        <v>1.48</v>
      </c>
      <c r="K32" s="256" t="n">
        <v>0.94</v>
      </c>
      <c r="L32" s="256" t="n">
        <v>1.13</v>
      </c>
      <c r="M32" s="256" t="n">
        <v>0.74</v>
      </c>
      <c r="N32" s="256" t="n">
        <v>0.89</v>
      </c>
      <c r="O32" s="256" t="n">
        <v>0.35</v>
      </c>
      <c r="P32" s="256" t="n">
        <v>0.42</v>
      </c>
      <c r="Q32" s="256" t="n">
        <v>0.29</v>
      </c>
      <c r="R32" s="256" t="n">
        <v>0.34</v>
      </c>
    </row>
    <row r="33" customFormat="false" ht="16.5" hidden="false" customHeight="false" outlineLevel="0" collapsed="false">
      <c r="A33" s="254" t="s">
        <v>513</v>
      </c>
      <c r="B33" s="254"/>
      <c r="C33" s="258" t="n">
        <f aca="false">AVERAGE(C6:C32)</f>
        <v>4.1337037037037</v>
      </c>
      <c r="D33" s="258" t="n">
        <f aca="false">AVERAGE(D6:D32)</f>
        <v>4.97925925925926</v>
      </c>
      <c r="E33" s="258" t="n">
        <f aca="false">AVERAGE(E6:E32)</f>
        <v>2.75555555555556</v>
      </c>
      <c r="F33" s="258" t="n">
        <f aca="false">AVERAGE(F6:F32)</f>
        <v>3.31888888888889</v>
      </c>
      <c r="G33" s="258" t="n">
        <f aca="false">AVERAGE(G6:G32)</f>
        <v>1.83703703703704</v>
      </c>
      <c r="H33" s="258" t="n">
        <f aca="false">AVERAGE(H6:H32)</f>
        <v>2.21518518518519</v>
      </c>
      <c r="I33" s="258" t="n">
        <f aca="false">AVERAGE(I6:I32)</f>
        <v>1.22518518518519</v>
      </c>
      <c r="J33" s="258" t="n">
        <f aca="false">AVERAGE(J6:J32)</f>
        <v>1.47444444444444</v>
      </c>
      <c r="K33" s="258" t="n">
        <f aca="false">AVERAGE(K6:K32)</f>
        <v>0.934444444444444</v>
      </c>
      <c r="L33" s="258" t="n">
        <f aca="false">AVERAGE(L6:L32)</f>
        <v>1.12481481481482</v>
      </c>
      <c r="M33" s="258" t="n">
        <f aca="false">AVERAGE(M6:M32)</f>
        <v>0.736666666666667</v>
      </c>
      <c r="N33" s="258" t="n">
        <f aca="false">AVERAGE(N6:N32)</f>
        <v>0.888148148148149</v>
      </c>
      <c r="O33" s="258" t="n">
        <f aca="false">AVERAGE(O6:O32)</f>
        <v>0.246296296296296</v>
      </c>
      <c r="P33" s="258" t="n">
        <f aca="false">AVERAGE(P6:P32)</f>
        <v>0.295555555555556</v>
      </c>
      <c r="Q33" s="258" t="n">
        <f aca="false">AVERAGE(Q6:Q32)</f>
        <v>0.200740740740741</v>
      </c>
      <c r="R33" s="258" t="n">
        <f aca="false">AVERAGE(R6:R32)</f>
        <v>0.24</v>
      </c>
    </row>
    <row r="34" customFormat="false" ht="16.5" hidden="false" customHeight="true" outlineLevel="0" collapsed="false">
      <c r="A34" s="259" t="s">
        <v>514</v>
      </c>
      <c r="B34" s="259"/>
      <c r="C34" s="258" t="n">
        <f aca="false">SMALL(C6:C32,27)</f>
        <v>5.6</v>
      </c>
      <c r="D34" s="258" t="n">
        <f aca="false">SMALL(D6:D32,27)</f>
        <v>6.73</v>
      </c>
      <c r="E34" s="258" t="n">
        <f aca="false">SMALL(E6:E32,27)</f>
        <v>3.73</v>
      </c>
      <c r="F34" s="258" t="n">
        <f aca="false">SMALL(F6:F32,27)</f>
        <v>4.48</v>
      </c>
      <c r="G34" s="258" t="n">
        <f aca="false">SMALL(G6:G32,27)</f>
        <v>2.49</v>
      </c>
      <c r="H34" s="258" t="n">
        <f aca="false">SMALL(H6:H32,27)</f>
        <v>2.99</v>
      </c>
      <c r="I34" s="258" t="n">
        <f aca="false">SMALL(I6:I32,27)</f>
        <v>1.66</v>
      </c>
      <c r="J34" s="258" t="n">
        <f aca="false">SMALL(J6:J32,27)</f>
        <v>1.99</v>
      </c>
      <c r="K34" s="258" t="n">
        <f aca="false">SMALL(K6:K32,27)</f>
        <v>1.26</v>
      </c>
      <c r="L34" s="258" t="n">
        <f aca="false">SMALL(L6:L32,27)</f>
        <v>1.52</v>
      </c>
      <c r="M34" s="258" t="n">
        <f aca="false">SMALL(M6:M32,27)</f>
        <v>1</v>
      </c>
      <c r="N34" s="258" t="n">
        <f aca="false">SMALL(N6:N32,27)</f>
        <v>1.2</v>
      </c>
      <c r="O34" s="258" t="n">
        <f aca="false">SMALL(O6:O32,27)</f>
        <v>0.4</v>
      </c>
      <c r="P34" s="258" t="n">
        <f aca="false">SMALL(P6:P32,27)</f>
        <v>0.48</v>
      </c>
      <c r="Q34" s="258" t="n">
        <f aca="false">SMALL(Q6:Q32,27)</f>
        <v>0.33</v>
      </c>
      <c r="R34" s="258" t="n">
        <f aca="false">SMALL(R6:R32,27)</f>
        <v>0.39</v>
      </c>
    </row>
    <row r="35" customFormat="false" ht="16.5" hidden="false" customHeight="true" outlineLevel="0" collapsed="false">
      <c r="A35" s="259" t="s">
        <v>515</v>
      </c>
      <c r="B35" s="259"/>
      <c r="C35" s="258" t="n">
        <f aca="false">LARGE(C7:C33,27)</f>
        <v>3.49</v>
      </c>
      <c r="D35" s="258" t="n">
        <f aca="false">LARGE(D7:D33,27)</f>
        <v>4.2</v>
      </c>
      <c r="E35" s="258" t="n">
        <f aca="false">LARGE(E7:E33,27)</f>
        <v>2.32</v>
      </c>
      <c r="F35" s="258" t="n">
        <f aca="false">LARGE(F7:F33,27)</f>
        <v>2.8</v>
      </c>
      <c r="G35" s="258" t="n">
        <f aca="false">LARGE(G7:G33,27)</f>
        <v>1.55</v>
      </c>
      <c r="H35" s="258" t="n">
        <f aca="false">LARGE(H7:H33,27)</f>
        <v>1.87</v>
      </c>
      <c r="I35" s="258" t="n">
        <f aca="false">LARGE(I7:I33,27)</f>
        <v>1.03</v>
      </c>
      <c r="J35" s="258" t="n">
        <f aca="false">LARGE(J7:J33,27)</f>
        <v>1.24</v>
      </c>
      <c r="K35" s="258" t="n">
        <f aca="false">LARGE(K7:K33,27)</f>
        <v>0.79</v>
      </c>
      <c r="L35" s="258" t="n">
        <f aca="false">LARGE(L7:L33,27)</f>
        <v>0.95</v>
      </c>
      <c r="M35" s="258" t="n">
        <f aca="false">LARGE(M7:M33,27)</f>
        <v>0.62</v>
      </c>
      <c r="N35" s="258" t="n">
        <f aca="false">LARGE(N7:N33,27)</f>
        <v>0.75</v>
      </c>
      <c r="O35" s="258" t="n">
        <f aca="false">LARGE(O7:O33,27)</f>
        <v>0.19</v>
      </c>
      <c r="P35" s="258" t="n">
        <f aca="false">LARGE(P7:P33,27)</f>
        <v>0.23</v>
      </c>
      <c r="Q35" s="258" t="n">
        <f aca="false">LARGE(Q7:Q33,27)</f>
        <v>0.15</v>
      </c>
      <c r="R35" s="258" t="n">
        <f aca="false">LARGE(R7:R33,27)</f>
        <v>0.18</v>
      </c>
    </row>
    <row r="36" customFormat="false" ht="16.5" hidden="false" customHeight="false" outlineLevel="0" collapsed="false">
      <c r="L36" s="248"/>
      <c r="M36" s="248"/>
      <c r="N36" s="248"/>
      <c r="Q36" s="248"/>
    </row>
  </sheetData>
  <mergeCells count="9">
    <mergeCell ref="A2:A5"/>
    <mergeCell ref="B2:B5"/>
    <mergeCell ref="C2:F3"/>
    <mergeCell ref="G2:J3"/>
    <mergeCell ref="K2:N3"/>
    <mergeCell ref="O2:R3"/>
    <mergeCell ref="A33:B33"/>
    <mergeCell ref="A34:B34"/>
    <mergeCell ref="A35:B35"/>
  </mergeCells>
  <printOptions headings="false" gridLines="false" gridLinesSet="true" horizontalCentered="true" verticalCentered="true"/>
  <pageMargins left="0.157638888888889" right="0.196527777777778" top="0.170138888888889" bottom="0.157638888888889"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sheetPr filterMode="false">
    <pageSetUpPr fitToPage="false"/>
  </sheetPr>
  <dimension ref="B1:J125"/>
  <sheetViews>
    <sheetView showFormulas="false" showGridLines="true" showRowColHeaders="true" showZeros="true" rightToLeft="false" tabSelected="false" showOutlineSymbols="true" defaultGridColor="true" view="normal" topLeftCell="A106" colorId="64" zoomScale="113" zoomScaleNormal="113" zoomScalePageLayoutView="100" workbookViewId="0">
      <selection pane="topLeft" activeCell="F120" activeCellId="0" sqref="F120"/>
    </sheetView>
  </sheetViews>
  <sheetFormatPr defaultRowHeight="12.8" zeroHeight="false" outlineLevelRow="0" outlineLevelCol="0"/>
  <cols>
    <col collapsed="false" customWidth="true" hidden="false" outlineLevel="0" max="1" min="1" style="0" width="8.19"/>
    <col collapsed="false" customWidth="true" hidden="false" outlineLevel="0" max="2" min="2" style="0" width="21.57"/>
    <col collapsed="false" customWidth="true" hidden="false" outlineLevel="0" max="3" min="3" style="0" width="20.98"/>
    <col collapsed="false" customWidth="true" hidden="false" outlineLevel="0" max="4" min="4" style="0" width="28.44"/>
    <col collapsed="false" customWidth="true" hidden="false" outlineLevel="0" max="5" min="5" style="0" width="18.79"/>
    <col collapsed="false" customWidth="true" hidden="false" outlineLevel="0" max="6" min="6" style="0" width="24.08"/>
    <col collapsed="false" customWidth="true" hidden="false" outlineLevel="0" max="7" min="7" style="0" width="19.45"/>
    <col collapsed="false" customWidth="true" hidden="false" outlineLevel="0" max="8" min="8" style="0" width="8.81"/>
    <col collapsed="false" customWidth="true" hidden="false" outlineLevel="0" max="9" min="9" style="0" width="12.71"/>
    <col collapsed="false" customWidth="true" hidden="false" outlineLevel="0" max="1025" min="10" style="0" width="8.81"/>
  </cols>
  <sheetData>
    <row r="1" customFormat="false" ht="12.8" hidden="false" customHeight="true" outlineLevel="0" collapsed="false">
      <c r="B1" s="267"/>
      <c r="C1" s="267"/>
      <c r="D1" s="267"/>
      <c r="E1" s="267"/>
    </row>
    <row r="2" customFormat="false" ht="21.25" hidden="false" customHeight="true" outlineLevel="0" collapsed="false">
      <c r="B2" s="268" t="s">
        <v>521</v>
      </c>
      <c r="C2" s="268"/>
      <c r="D2" s="268"/>
      <c r="E2" s="268"/>
    </row>
    <row r="3" customFormat="false" ht="15.65" hidden="false" customHeight="true" outlineLevel="0" collapsed="false">
      <c r="B3" s="214" t="s">
        <v>269</v>
      </c>
      <c r="C3" s="214" t="s">
        <v>298</v>
      </c>
      <c r="D3" s="269" t="s">
        <v>522</v>
      </c>
      <c r="E3" s="214" t="s">
        <v>523</v>
      </c>
    </row>
    <row r="4" customFormat="false" ht="15.65" hidden="false" customHeight="true" outlineLevel="0" collapsed="false">
      <c r="B4" s="214"/>
      <c r="C4" s="214"/>
      <c r="D4" s="269"/>
      <c r="E4" s="214"/>
    </row>
    <row r="5" customFormat="false" ht="48.5" hidden="false" customHeight="false" outlineLevel="0" collapsed="false">
      <c r="B5" s="214"/>
      <c r="C5" s="214" t="s">
        <v>134</v>
      </c>
      <c r="D5" s="214" t="s">
        <v>524</v>
      </c>
      <c r="E5" s="214" t="s">
        <v>525</v>
      </c>
    </row>
    <row r="6" customFormat="false" ht="21.25" hidden="false" customHeight="true" outlineLevel="0" collapsed="false">
      <c r="B6" s="270" t="s">
        <v>146</v>
      </c>
      <c r="C6" s="271" t="n">
        <f aca="false">'INSERÇÃO-DE-DADOS_PRODUTIVIDADE'!D9</f>
        <v>3593.54</v>
      </c>
      <c r="D6" s="272" t="n">
        <f aca="false">E29*'INSERÇÃO-DE-DADOS_PRODUTIVIDADE'!J9</f>
        <v>4800</v>
      </c>
      <c r="E6" s="272" t="n">
        <f aca="false">IFERROR(C6/D6,0)</f>
        <v>0.748654166666667</v>
      </c>
      <c r="I6" s="273"/>
    </row>
    <row r="7" customFormat="false" ht="21.25" hidden="false" customHeight="true" outlineLevel="0" collapsed="false">
      <c r="B7" s="270" t="s">
        <v>526</v>
      </c>
      <c r="C7" s="271" t="n">
        <f aca="false">'INSERÇÃO-DE-DADOS_PRODUTIVIDADE'!D10</f>
        <v>37.06</v>
      </c>
      <c r="D7" s="272" t="n">
        <f aca="false">E29*'INSERÇÃO-DE-DADOS_PRODUTIVIDADE'!J10</f>
        <v>9000</v>
      </c>
      <c r="E7" s="272" t="n">
        <f aca="false">C7/D7</f>
        <v>0.00411777777777778</v>
      </c>
      <c r="I7" s="274"/>
    </row>
    <row r="8" customFormat="false" ht="21.25" hidden="false" customHeight="true" outlineLevel="0" collapsed="false">
      <c r="B8" s="270" t="s">
        <v>148</v>
      </c>
      <c r="C8" s="271" t="n">
        <f aca="false">'INSERÇÃO-DE-DADOS_PRODUTIVIDADE'!D11</f>
        <v>116.45</v>
      </c>
      <c r="D8" s="272" t="n">
        <f aca="false">E29*'INSERÇÃO-DE-DADOS_PRODUTIVIDADE'!J11</f>
        <v>1200</v>
      </c>
      <c r="E8" s="272" t="n">
        <f aca="false">IFERROR(C8/D8,0)</f>
        <v>0.0970416666666667</v>
      </c>
    </row>
    <row r="9" customFormat="false" ht="21.25" hidden="false" customHeight="true" outlineLevel="0" collapsed="false">
      <c r="B9" s="270" t="s">
        <v>150</v>
      </c>
      <c r="C9" s="271" t="n">
        <f aca="false">'INSERÇÃO-DE-DADOS_PRODUTIVIDADE'!D12</f>
        <v>176.15</v>
      </c>
      <c r="D9" s="272" t="n">
        <f aca="false">E29*'INSERÇÃO-DE-DADOS_PRODUTIVIDADE'!J12</f>
        <v>10800</v>
      </c>
      <c r="E9" s="272" t="n">
        <f aca="false">IFERROR(C9/D9,0)</f>
        <v>0.0163101851851852</v>
      </c>
    </row>
    <row r="10" customFormat="false" ht="54.6" hidden="false" customHeight="true" outlineLevel="0" collapsed="false">
      <c r="B10" s="270" t="s">
        <v>151</v>
      </c>
      <c r="C10" s="271" t="n">
        <f aca="false">'INSERÇÃO-DE-DADOS_PRODUTIVIDADE'!D13</f>
        <v>2814.91</v>
      </c>
      <c r="D10" s="272" t="n">
        <f aca="false">E29*'INSERÇÃO-DE-DADOS_PRODUTIVIDADE'!J13</f>
        <v>36000</v>
      </c>
      <c r="E10" s="272" t="n">
        <f aca="false">IFERROR(C10/D10,0)</f>
        <v>0.0781919444444444</v>
      </c>
    </row>
    <row r="11" customFormat="false" ht="21.25" hidden="false" customHeight="true" outlineLevel="0" collapsed="false">
      <c r="B11" s="270" t="s">
        <v>152</v>
      </c>
      <c r="C11" s="271" t="n">
        <f aca="false">'INSERÇÃO-DE-DADOS_PRODUTIVIDADE'!D14</f>
        <v>237.53</v>
      </c>
      <c r="D11" s="272" t="n">
        <f aca="false">E29*'INSERÇÃO-DE-DADOS_PRODUTIVIDADE'!J14</f>
        <v>10800</v>
      </c>
      <c r="E11" s="272" t="n">
        <f aca="false">IFERROR(C11/D11,0)</f>
        <v>0.0219935185185185</v>
      </c>
    </row>
    <row r="12" customFormat="false" ht="21.25" hidden="false" customHeight="true" outlineLevel="0" collapsed="false">
      <c r="B12" s="270" t="s">
        <v>154</v>
      </c>
      <c r="C12" s="271" t="n">
        <f aca="false">'INSERÇÃO-DE-DADOS_PRODUTIVIDADE'!D15</f>
        <v>358.43</v>
      </c>
      <c r="D12" s="275" t="n">
        <f aca="false">'CUSTO M² CG'!G41</f>
        <v>4.71380471380471E-005</v>
      </c>
      <c r="E12" s="272" t="n">
        <f aca="false">IFERROR((C12*(D12)),0)</f>
        <v>0.0168956902356902</v>
      </c>
    </row>
    <row r="13" customFormat="false" ht="21.25" hidden="false" customHeight="true" outlineLevel="0" collapsed="false">
      <c r="B13" s="270" t="s">
        <v>155</v>
      </c>
      <c r="C13" s="271" t="n">
        <f aca="false">'INSERÇÃO-DE-DADOS_PRODUTIVIDADE'!D16</f>
        <v>358.43</v>
      </c>
      <c r="D13" s="275" t="n">
        <f aca="false">'CUSTO M² CG'!G42</f>
        <v>4.71380471380471E-005</v>
      </c>
      <c r="E13" s="272" t="n">
        <f aca="false">IFERROR((C13*(D13)),0)</f>
        <v>0.0168956902356902</v>
      </c>
      <c r="I13" s="274"/>
    </row>
    <row r="14" customFormat="false" ht="21.25" hidden="false" customHeight="true" outlineLevel="0" collapsed="false">
      <c r="B14" s="276" t="s">
        <v>521</v>
      </c>
      <c r="C14" s="276"/>
      <c r="D14" s="276"/>
      <c r="E14" s="277" t="n">
        <f aca="false">TRUNC(SUM(E6:E13),0)</f>
        <v>1</v>
      </c>
      <c r="F14" s="278"/>
    </row>
    <row r="15" customFormat="false" ht="21.25" hidden="false" customHeight="true" outlineLevel="0" collapsed="false">
      <c r="B15" s="279" t="s">
        <v>527</v>
      </c>
      <c r="C15" s="279"/>
      <c r="D15" s="279"/>
      <c r="E15" s="280" t="n">
        <f aca="false">SUM(E6:E13)</f>
        <v>1.00010063973064</v>
      </c>
      <c r="F15" s="278"/>
    </row>
    <row r="16" customFormat="false" ht="12.8" hidden="false" customHeight="true" outlineLevel="0" collapsed="false">
      <c r="B16" s="267"/>
      <c r="C16" s="267"/>
      <c r="D16" s="267"/>
      <c r="E16" s="267"/>
    </row>
    <row r="17" customFormat="false" ht="20.25" hidden="false" customHeight="true" outlineLevel="0" collapsed="false">
      <c r="B17" s="268" t="s">
        <v>528</v>
      </c>
      <c r="C17" s="268"/>
      <c r="D17" s="268"/>
      <c r="E17" s="268"/>
    </row>
    <row r="18" customFormat="false" ht="12.75" hidden="false" customHeight="true" outlineLevel="0" collapsed="false">
      <c r="B18" s="214" t="s">
        <v>269</v>
      </c>
      <c r="C18" s="214" t="s">
        <v>298</v>
      </c>
      <c r="D18" s="269" t="s">
        <v>522</v>
      </c>
      <c r="E18" s="214" t="s">
        <v>523</v>
      </c>
    </row>
    <row r="19" customFormat="false" ht="12.8" hidden="false" customHeight="false" outlineLevel="0" collapsed="false">
      <c r="B19" s="214"/>
      <c r="C19" s="214"/>
      <c r="D19" s="269"/>
      <c r="E19" s="214"/>
    </row>
    <row r="20" customFormat="false" ht="48.5" hidden="false" customHeight="false" outlineLevel="0" collapsed="false">
      <c r="B20" s="214"/>
      <c r="C20" s="214" t="s">
        <v>134</v>
      </c>
      <c r="D20" s="214" t="s">
        <v>524</v>
      </c>
      <c r="E20" s="214" t="s">
        <v>525</v>
      </c>
    </row>
    <row r="21" customFormat="false" ht="18.4" hidden="false" customHeight="false" outlineLevel="0" collapsed="false">
      <c r="B21" s="270" t="s">
        <v>146</v>
      </c>
      <c r="C21" s="271" t="n">
        <f aca="false">'INSERÇÃO-DE-DADOS_PRODUTIVIDADE'!D9</f>
        <v>3593.54</v>
      </c>
      <c r="D21" s="272" t="n">
        <f aca="false">'INSERÇÃO-DE-DADOS_PRODUTIVIDADE'!J9</f>
        <v>800</v>
      </c>
      <c r="E21" s="271" t="n">
        <f aca="false">C21/D21</f>
        <v>4.491925</v>
      </c>
    </row>
    <row r="22" customFormat="false" ht="18.4" hidden="false" customHeight="false" outlineLevel="0" collapsed="false">
      <c r="B22" s="270" t="s">
        <v>526</v>
      </c>
      <c r="C22" s="271" t="n">
        <f aca="false">'INSERÇÃO-DE-DADOS_PRODUTIVIDADE'!D10</f>
        <v>37.06</v>
      </c>
      <c r="D22" s="272" t="n">
        <f aca="false">'INSERÇÃO-DE-DADOS_PRODUTIVIDADE'!J10</f>
        <v>1500</v>
      </c>
      <c r="E22" s="271" t="n">
        <f aca="false">C22/D22</f>
        <v>0.0247066666666667</v>
      </c>
    </row>
    <row r="23" customFormat="false" ht="18.4" hidden="false" customHeight="false" outlineLevel="0" collapsed="false">
      <c r="B23" s="270" t="s">
        <v>148</v>
      </c>
      <c r="C23" s="271" t="n">
        <f aca="false">'INSERÇÃO-DE-DADOS_PRODUTIVIDADE'!D11</f>
        <v>116.45</v>
      </c>
      <c r="D23" s="272" t="n">
        <f aca="false">'INSERÇÃO-DE-DADOS_PRODUTIVIDADE'!J11</f>
        <v>200</v>
      </c>
      <c r="E23" s="271" t="n">
        <f aca="false">C23/D23</f>
        <v>0.58225</v>
      </c>
    </row>
    <row r="24" customFormat="false" ht="18.4" hidden="false" customHeight="false" outlineLevel="0" collapsed="false">
      <c r="B24" s="270" t="s">
        <v>150</v>
      </c>
      <c r="C24" s="271" t="n">
        <f aca="false">'INSERÇÃO-DE-DADOS_PRODUTIVIDADE'!D12</f>
        <v>176.15</v>
      </c>
      <c r="D24" s="272" t="n">
        <f aca="false">'INSERÇÃO-DE-DADOS_PRODUTIVIDADE'!J12</f>
        <v>1800</v>
      </c>
      <c r="E24" s="271" t="n">
        <f aca="false">C24/D24</f>
        <v>0.0978611111111111</v>
      </c>
    </row>
    <row r="25" customFormat="false" ht="51.75" hidden="false" customHeight="false" outlineLevel="0" collapsed="false">
      <c r="B25" s="270" t="s">
        <v>151</v>
      </c>
      <c r="C25" s="271" t="n">
        <f aca="false">'INSERÇÃO-DE-DADOS_PRODUTIVIDADE'!D13</f>
        <v>2814.91</v>
      </c>
      <c r="D25" s="272" t="n">
        <f aca="false">'INSERÇÃO-DE-DADOS_PRODUTIVIDADE'!J13</f>
        <v>6000</v>
      </c>
      <c r="E25" s="271" t="n">
        <f aca="false">C25/D25</f>
        <v>0.469151666666667</v>
      </c>
    </row>
    <row r="26" customFormat="false" ht="18.4" hidden="false" customHeight="false" outlineLevel="0" collapsed="false">
      <c r="B26" s="270" t="s">
        <v>152</v>
      </c>
      <c r="C26" s="271" t="n">
        <f aca="false">'INSERÇÃO-DE-DADOS_PRODUTIVIDADE'!D14</f>
        <v>237.53</v>
      </c>
      <c r="D26" s="272" t="n">
        <f aca="false">'INSERÇÃO-DE-DADOS_PRODUTIVIDADE'!J14</f>
        <v>1800</v>
      </c>
      <c r="E26" s="271" t="n">
        <f aca="false">C26/D26</f>
        <v>0.131961111111111</v>
      </c>
    </row>
    <row r="27" customFormat="false" ht="18.4" hidden="false" customHeight="false" outlineLevel="0" collapsed="false">
      <c r="B27" s="270" t="s">
        <v>154</v>
      </c>
      <c r="C27" s="271" t="n">
        <f aca="false">'INSERÇÃO-DE-DADOS_PRODUTIVIDADE'!D15</f>
        <v>358.43</v>
      </c>
      <c r="D27" s="275" t="n">
        <f aca="false">'CUSTO M² CG'!G43</f>
        <v>0.000282828282828283</v>
      </c>
      <c r="E27" s="271" t="n">
        <f aca="false">C27*D27</f>
        <v>0.101374141414141</v>
      </c>
    </row>
    <row r="28" customFormat="false" ht="17.15" hidden="false" customHeight="false" outlineLevel="0" collapsed="false">
      <c r="B28" s="270" t="s">
        <v>155</v>
      </c>
      <c r="C28" s="271" t="n">
        <f aca="false">'INSERÇÃO-DE-DADOS_PRODUTIVIDADE'!D16</f>
        <v>358.43</v>
      </c>
      <c r="D28" s="275" t="n">
        <f aca="false">'CUSTO M² CG'!G44</f>
        <v>0.000282828282828283</v>
      </c>
      <c r="E28" s="271" t="n">
        <f aca="false">C28*D28</f>
        <v>0.101374141414141</v>
      </c>
    </row>
    <row r="29" customFormat="false" ht="18.4" hidden="false" customHeight="true" outlineLevel="0" collapsed="false">
      <c r="B29" s="276" t="s">
        <v>529</v>
      </c>
      <c r="C29" s="276"/>
      <c r="D29" s="276"/>
      <c r="E29" s="281" t="n">
        <f aca="false">ROUNDDOWN(SUM(E21:E28),0)</f>
        <v>6</v>
      </c>
      <c r="F29" s="278"/>
      <c r="G29" s="278"/>
    </row>
    <row r="30" customFormat="false" ht="18.4" hidden="false" customHeight="true" outlineLevel="0" collapsed="false">
      <c r="B30" s="279" t="s">
        <v>527</v>
      </c>
      <c r="C30" s="279"/>
      <c r="D30" s="279"/>
      <c r="E30" s="280" t="n">
        <f aca="false">SUM(E21:E28)</f>
        <v>6.00060383838384</v>
      </c>
      <c r="F30" s="278"/>
    </row>
    <row r="31" customFormat="false" ht="15" hidden="false" customHeight="false" outlineLevel="0" collapsed="false">
      <c r="B31" s="282"/>
      <c r="C31" s="282"/>
      <c r="D31" s="282"/>
      <c r="E31" s="282"/>
    </row>
    <row r="32" customFormat="false" ht="17.15" hidden="false" customHeight="true" outlineLevel="0" collapsed="false">
      <c r="B32" s="268" t="s">
        <v>530</v>
      </c>
      <c r="C32" s="268"/>
      <c r="D32" s="268"/>
      <c r="E32" s="268"/>
    </row>
    <row r="33" customFormat="false" ht="15.65" hidden="false" customHeight="true" outlineLevel="0" collapsed="false">
      <c r="B33" s="214" t="s">
        <v>269</v>
      </c>
      <c r="C33" s="214" t="s">
        <v>298</v>
      </c>
      <c r="D33" s="269" t="s">
        <v>522</v>
      </c>
      <c r="E33" s="214" t="s">
        <v>523</v>
      </c>
    </row>
    <row r="34" customFormat="false" ht="15.65" hidden="false" customHeight="true" outlineLevel="0" collapsed="false">
      <c r="B34" s="214"/>
      <c r="C34" s="214"/>
      <c r="D34" s="269"/>
      <c r="E34" s="214"/>
    </row>
    <row r="35" customFormat="false" ht="48.5" hidden="false" customHeight="false" outlineLevel="0" collapsed="false">
      <c r="B35" s="214"/>
      <c r="C35" s="214" t="s">
        <v>134</v>
      </c>
      <c r="D35" s="214" t="s">
        <v>524</v>
      </c>
      <c r="E35" s="214" t="s">
        <v>525</v>
      </c>
    </row>
    <row r="36" customFormat="false" ht="21.25" hidden="false" customHeight="true" outlineLevel="0" collapsed="false">
      <c r="B36" s="270" t="s">
        <v>146</v>
      </c>
      <c r="C36" s="271" t="n">
        <f aca="false">'INSERÇÃO-DE-DADOS_PRODUTIVIDADE'!E9</f>
        <v>1052.84</v>
      </c>
      <c r="D36" s="272" t="n">
        <f aca="false">'INSERÇÃO-DE-DADOS_PRODUTIVIDADE'!K9</f>
        <v>800</v>
      </c>
      <c r="E36" s="272" t="n">
        <f aca="false">IFERROR(C36/D36,0)</f>
        <v>1.31605</v>
      </c>
    </row>
    <row r="37" customFormat="false" ht="21.25" hidden="false" customHeight="true" outlineLevel="0" collapsed="false">
      <c r="B37" s="270" t="s">
        <v>526</v>
      </c>
      <c r="C37" s="271" t="n">
        <f aca="false">'INSERÇÃO-DE-DADOS_PRODUTIVIDADE'!E10</f>
        <v>0</v>
      </c>
      <c r="D37" s="272" t="n">
        <f aca="false">'INSERÇÃO-DE-DADOS_PRODUTIVIDADE'!K10</f>
        <v>1500</v>
      </c>
      <c r="E37" s="272" t="n">
        <f aca="false">IFERROR(C37/D37,0)</f>
        <v>0</v>
      </c>
    </row>
    <row r="38" customFormat="false" ht="21.25" hidden="false" customHeight="true" outlineLevel="0" collapsed="false">
      <c r="B38" s="270" t="s">
        <v>148</v>
      </c>
      <c r="C38" s="271" t="n">
        <f aca="false">'INSERÇÃO-DE-DADOS_PRODUTIVIDADE'!E11</f>
        <v>75.87</v>
      </c>
      <c r="D38" s="272" t="n">
        <f aca="false">'INSERÇÃO-DE-DADOS_PRODUTIVIDADE'!K11</f>
        <v>200</v>
      </c>
      <c r="E38" s="272" t="n">
        <f aca="false">IFERROR(C38/D38,0)</f>
        <v>0.37935</v>
      </c>
    </row>
    <row r="39" customFormat="false" ht="21.25" hidden="false" customHeight="true" outlineLevel="0" collapsed="false">
      <c r="B39" s="270" t="s">
        <v>150</v>
      </c>
      <c r="C39" s="271" t="n">
        <f aca="false">'INSERÇÃO-DE-DADOS_PRODUTIVIDADE'!E12</f>
        <v>587.91</v>
      </c>
      <c r="D39" s="272" t="n">
        <f aca="false">'INSERÇÃO-DE-DADOS_PRODUTIVIDADE'!K12</f>
        <v>1800</v>
      </c>
      <c r="E39" s="272" t="n">
        <f aca="false">IFERROR(C39/D39,0)</f>
        <v>0.326616666666667</v>
      </c>
    </row>
    <row r="40" customFormat="false" ht="54.6" hidden="false" customHeight="true" outlineLevel="0" collapsed="false">
      <c r="B40" s="270" t="s">
        <v>151</v>
      </c>
      <c r="C40" s="271" t="n">
        <f aca="false">'INSERÇÃO-DE-DADOS_PRODUTIVIDADE'!E13</f>
        <v>1254.66</v>
      </c>
      <c r="D40" s="272" t="n">
        <f aca="false">'INSERÇÃO-DE-DADOS_PRODUTIVIDADE'!K13</f>
        <v>6000</v>
      </c>
      <c r="E40" s="272" t="n">
        <f aca="false">IFERROR(C40/D40,0)</f>
        <v>0.20911</v>
      </c>
    </row>
    <row r="41" customFormat="false" ht="21.25" hidden="false" customHeight="true" outlineLevel="0" collapsed="false">
      <c r="B41" s="270" t="s">
        <v>152</v>
      </c>
      <c r="C41" s="271" t="n">
        <f aca="false">'INSERÇÃO-DE-DADOS_PRODUTIVIDADE'!E14</f>
        <v>97.16</v>
      </c>
      <c r="D41" s="272" t="n">
        <f aca="false">'INSERÇÃO-DE-DADOS_PRODUTIVIDADE'!K14</f>
        <v>1800</v>
      </c>
      <c r="E41" s="272" t="n">
        <f aca="false">IFERROR(C41/D41,0)</f>
        <v>0.0539777777777778</v>
      </c>
    </row>
    <row r="42" customFormat="false" ht="21.25" hidden="false" customHeight="true" outlineLevel="0" collapsed="false">
      <c r="B42" s="270" t="s">
        <v>154</v>
      </c>
      <c r="C42" s="271" t="n">
        <f aca="false">'INSERÇÃO-DE-DADOS_PRODUTIVIDADE'!E15</f>
        <v>156.91</v>
      </c>
      <c r="D42" s="275" t="n">
        <f aca="false">'CUSTO M² DOU'!G29</f>
        <v>0.000282828282828283</v>
      </c>
      <c r="E42" s="272" t="n">
        <f aca="false">IFERROR((C42*D42),0)</f>
        <v>0.0443785858585859</v>
      </c>
      <c r="H42" s="274"/>
    </row>
    <row r="43" customFormat="false" ht="21.25" hidden="false" customHeight="true" outlineLevel="0" collapsed="false">
      <c r="B43" s="270" t="s">
        <v>155</v>
      </c>
      <c r="C43" s="271" t="n">
        <f aca="false">'INSERÇÃO-DE-DADOS_PRODUTIVIDADE'!E16</f>
        <v>156.91</v>
      </c>
      <c r="D43" s="275" t="n">
        <f aca="false">'CUSTO M² DOU'!G30</f>
        <v>0.000282828282828283</v>
      </c>
      <c r="E43" s="272" t="n">
        <f aca="false">IFERROR((C43*D43),0)</f>
        <v>0.0443785858585859</v>
      </c>
    </row>
    <row r="44" customFormat="false" ht="18.4" hidden="false" customHeight="true" outlineLevel="0" collapsed="false">
      <c r="B44" s="276" t="s">
        <v>529</v>
      </c>
      <c r="C44" s="276"/>
      <c r="D44" s="276"/>
      <c r="E44" s="281" t="n">
        <f aca="false">TRUNC(SUM(E36:E43),0)</f>
        <v>2</v>
      </c>
    </row>
    <row r="45" customFormat="false" ht="18.4" hidden="false" customHeight="true" outlineLevel="0" collapsed="false">
      <c r="B45" s="279" t="s">
        <v>527</v>
      </c>
      <c r="C45" s="279"/>
      <c r="D45" s="279"/>
      <c r="E45" s="280" t="n">
        <f aca="false">SUM(E36:E43)</f>
        <v>2.37386161616162</v>
      </c>
    </row>
    <row r="46" customFormat="false" ht="15" hidden="false" customHeight="false" outlineLevel="0" collapsed="false">
      <c r="B46" s="282"/>
      <c r="C46" s="282"/>
      <c r="D46" s="282"/>
      <c r="E46" s="282"/>
    </row>
    <row r="47" customFormat="false" ht="17.15" hidden="false" customHeight="true" outlineLevel="0" collapsed="false">
      <c r="B47" s="268" t="s">
        <v>531</v>
      </c>
      <c r="C47" s="268"/>
      <c r="D47" s="268"/>
      <c r="E47" s="268"/>
    </row>
    <row r="48" customFormat="false" ht="12.8" hidden="false" customHeight="true" outlineLevel="0" collapsed="false">
      <c r="B48" s="214" t="s">
        <v>269</v>
      </c>
      <c r="C48" s="214" t="s">
        <v>298</v>
      </c>
      <c r="D48" s="269" t="s">
        <v>522</v>
      </c>
      <c r="E48" s="214" t="s">
        <v>523</v>
      </c>
    </row>
    <row r="49" customFormat="false" ht="12.8" hidden="false" customHeight="false" outlineLevel="0" collapsed="false">
      <c r="B49" s="214"/>
      <c r="C49" s="214"/>
      <c r="D49" s="269"/>
      <c r="E49" s="214"/>
    </row>
    <row r="50" customFormat="false" ht="48.5" hidden="false" customHeight="false" outlineLevel="0" collapsed="false">
      <c r="B50" s="214"/>
      <c r="C50" s="214" t="s">
        <v>134</v>
      </c>
      <c r="D50" s="214" t="s">
        <v>524</v>
      </c>
      <c r="E50" s="214" t="s">
        <v>525</v>
      </c>
    </row>
    <row r="51" customFormat="false" ht="18.4" hidden="false" customHeight="true" outlineLevel="0" collapsed="false">
      <c r="B51" s="270" t="s">
        <v>145</v>
      </c>
      <c r="C51" s="270"/>
      <c r="D51" s="270"/>
      <c r="E51" s="270"/>
    </row>
    <row r="52" customFormat="false" ht="18.4" hidden="false" customHeight="false" outlineLevel="0" collapsed="false">
      <c r="B52" s="270" t="s">
        <v>146</v>
      </c>
      <c r="C52" s="271" t="n">
        <f aca="false">'INSERÇÃO-DE-DADOS_PRODUTIVIDADE'!F9</f>
        <v>411.17</v>
      </c>
      <c r="D52" s="272" t="n">
        <f aca="false">'INSERÇÃO-DE-DADOS_PRODUTIVIDADE'!L9</f>
        <v>800</v>
      </c>
      <c r="E52" s="272" t="n">
        <f aca="false">IFERROR(C52/D52,0)</f>
        <v>0.5139625</v>
      </c>
    </row>
    <row r="53" customFormat="false" ht="18.4" hidden="false" customHeight="false" outlineLevel="0" collapsed="false">
      <c r="B53" s="270" t="s">
        <v>526</v>
      </c>
      <c r="C53" s="271" t="n">
        <f aca="false">'INSERÇÃO-DE-DADOS_PRODUTIVIDADE'!F10</f>
        <v>0</v>
      </c>
      <c r="D53" s="272" t="n">
        <f aca="false">'INSERÇÃO-DE-DADOS_PRODUTIVIDADE'!L10</f>
        <v>1500</v>
      </c>
      <c r="E53" s="272" t="n">
        <f aca="false">IFERROR(C53/D53,0)</f>
        <v>0</v>
      </c>
    </row>
    <row r="54" customFormat="false" ht="18.4" hidden="false" customHeight="false" outlineLevel="0" collapsed="false">
      <c r="B54" s="270" t="s">
        <v>148</v>
      </c>
      <c r="C54" s="271" t="n">
        <f aca="false">'INSERÇÃO-DE-DADOS_PRODUTIVIDADE'!F11</f>
        <v>23.09</v>
      </c>
      <c r="D54" s="272" t="n">
        <f aca="false">'INSERÇÃO-DE-DADOS_PRODUTIVIDADE'!L11</f>
        <v>200</v>
      </c>
      <c r="E54" s="272" t="n">
        <f aca="false">IFERROR(C54/D54,0)</f>
        <v>0.11545</v>
      </c>
    </row>
    <row r="55" customFormat="false" ht="18.4" hidden="false" customHeight="false" outlineLevel="0" collapsed="false">
      <c r="B55" s="270" t="s">
        <v>150</v>
      </c>
      <c r="C55" s="271" t="n">
        <f aca="false">'INSERÇÃO-DE-DADOS_PRODUTIVIDADE'!F12</f>
        <v>296.19</v>
      </c>
      <c r="D55" s="272" t="n">
        <f aca="false">'INSERÇÃO-DE-DADOS_PRODUTIVIDADE'!L12</f>
        <v>1800</v>
      </c>
      <c r="E55" s="272" t="n">
        <f aca="false">IFERROR(C55/D55,0)</f>
        <v>0.16455</v>
      </c>
    </row>
    <row r="56" customFormat="false" ht="51.75" hidden="false" customHeight="false" outlineLevel="0" collapsed="false">
      <c r="B56" s="270" t="s">
        <v>151</v>
      </c>
      <c r="C56" s="271" t="n">
        <f aca="false">'INSERÇÃO-DE-DADOS_PRODUTIVIDADE'!F13</f>
        <v>279.4</v>
      </c>
      <c r="D56" s="272" t="n">
        <f aca="false">'INSERÇÃO-DE-DADOS_PRODUTIVIDADE'!L13</f>
        <v>6000</v>
      </c>
      <c r="E56" s="272" t="n">
        <f aca="false">IFERROR(C56/D56,0)</f>
        <v>0.0465666666666667</v>
      </c>
    </row>
    <row r="57" customFormat="false" ht="18.4" hidden="false" customHeight="false" outlineLevel="0" collapsed="false">
      <c r="B57" s="270" t="s">
        <v>152</v>
      </c>
      <c r="C57" s="271" t="n">
        <f aca="false">'INSERÇÃO-DE-DADOS_PRODUTIVIDADE'!F14</f>
        <v>220.6</v>
      </c>
      <c r="D57" s="272" t="n">
        <f aca="false">'INSERÇÃO-DE-DADOS_PRODUTIVIDADE'!L14</f>
        <v>1800</v>
      </c>
      <c r="E57" s="272" t="n">
        <f aca="false">IFERROR(C57/D57,0)</f>
        <v>0.122555555555556</v>
      </c>
    </row>
    <row r="58" customFormat="false" ht="18.4" hidden="false" customHeight="false" outlineLevel="0" collapsed="false">
      <c r="B58" s="270" t="s">
        <v>154</v>
      </c>
      <c r="C58" s="271" t="n">
        <f aca="false">'INSERÇÃO-DE-DADOS_PRODUTIVIDADE'!F15</f>
        <v>72.68</v>
      </c>
      <c r="D58" s="275" t="n">
        <f aca="false">'CUSTO M² TL'!G29</f>
        <v>0.000282828282828283</v>
      </c>
      <c r="E58" s="272" t="n">
        <f aca="false">IFERROR((C58*D58),0)</f>
        <v>0.0205559595959596</v>
      </c>
    </row>
    <row r="59" customFormat="false" ht="18.4" hidden="false" customHeight="false" outlineLevel="0" collapsed="false">
      <c r="B59" s="270" t="s">
        <v>155</v>
      </c>
      <c r="C59" s="271" t="n">
        <f aca="false">'INSERÇÃO-DE-DADOS_PRODUTIVIDADE'!F16</f>
        <v>72.68</v>
      </c>
      <c r="D59" s="275" t="n">
        <f aca="false">'CUSTO M² TL'!G30</f>
        <v>0.000282828282828283</v>
      </c>
      <c r="E59" s="272" t="n">
        <f aca="false">IFERROR((C59*D59),0)</f>
        <v>0.0205559595959596</v>
      </c>
    </row>
    <row r="60" customFormat="false" ht="18.4" hidden="false" customHeight="true" outlineLevel="0" collapsed="false">
      <c r="B60" s="276" t="s">
        <v>529</v>
      </c>
      <c r="C60" s="276"/>
      <c r="D60" s="276"/>
      <c r="E60" s="281" t="n">
        <f aca="false">TRUNC(SUM(E52:E59),0)</f>
        <v>1</v>
      </c>
    </row>
    <row r="61" customFormat="false" ht="18.4" hidden="false" customHeight="true" outlineLevel="0" collapsed="false">
      <c r="B61" s="279" t="s">
        <v>527</v>
      </c>
      <c r="C61" s="279"/>
      <c r="D61" s="279"/>
      <c r="E61" s="280" t="n">
        <f aca="false">SUM(E52:E59)</f>
        <v>1.00419664141414</v>
      </c>
    </row>
    <row r="63" customFormat="false" ht="17.15" hidden="false" customHeight="true" outlineLevel="0" collapsed="false">
      <c r="B63" s="268" t="s">
        <v>532</v>
      </c>
      <c r="C63" s="268"/>
      <c r="D63" s="268"/>
      <c r="E63" s="268"/>
    </row>
    <row r="64" customFormat="false" ht="12.8" hidden="false" customHeight="true" outlineLevel="0" collapsed="false">
      <c r="B64" s="214" t="s">
        <v>269</v>
      </c>
      <c r="C64" s="214" t="s">
        <v>298</v>
      </c>
      <c r="D64" s="269" t="s">
        <v>522</v>
      </c>
      <c r="E64" s="214" t="s">
        <v>523</v>
      </c>
    </row>
    <row r="65" customFormat="false" ht="12.8" hidden="false" customHeight="false" outlineLevel="0" collapsed="false">
      <c r="B65" s="214"/>
      <c r="C65" s="214"/>
      <c r="D65" s="269"/>
      <c r="E65" s="214"/>
    </row>
    <row r="66" customFormat="false" ht="48.5" hidden="false" customHeight="false" outlineLevel="0" collapsed="false">
      <c r="B66" s="214"/>
      <c r="C66" s="214" t="s">
        <v>134</v>
      </c>
      <c r="D66" s="214" t="s">
        <v>524</v>
      </c>
      <c r="E66" s="214" t="s">
        <v>525</v>
      </c>
    </row>
    <row r="67" customFormat="false" ht="18.4" hidden="false" customHeight="false" outlineLevel="0" collapsed="false">
      <c r="B67" s="270" t="s">
        <v>146</v>
      </c>
      <c r="C67" s="271" t="n">
        <f aca="false">'INSERÇÃO-DE-DADOS_PRODUTIVIDADE'!G9</f>
        <v>428.93</v>
      </c>
      <c r="D67" s="272" t="n">
        <f aca="false">'INSERÇÃO-DE-DADOS_PRODUTIVIDADE'!M9</f>
        <v>800</v>
      </c>
      <c r="E67" s="272" t="n">
        <f aca="false">IFERROR(C67/D67,0)</f>
        <v>0.5361625</v>
      </c>
    </row>
    <row r="68" customFormat="false" ht="18.4" hidden="false" customHeight="false" outlineLevel="0" collapsed="false">
      <c r="B68" s="270" t="s">
        <v>526</v>
      </c>
      <c r="C68" s="271" t="n">
        <f aca="false">'INSERÇÃO-DE-DADOS_PRODUTIVIDADE'!G10</f>
        <v>0</v>
      </c>
      <c r="D68" s="272" t="n">
        <f aca="false">'INSERÇÃO-DE-DADOS_PRODUTIVIDADE'!M10</f>
        <v>1500</v>
      </c>
      <c r="E68" s="272" t="n">
        <f aca="false">IFERROR(C68/D68,0)</f>
        <v>0</v>
      </c>
    </row>
    <row r="69" customFormat="false" ht="18.4" hidden="false" customHeight="false" outlineLevel="0" collapsed="false">
      <c r="B69" s="270" t="s">
        <v>148</v>
      </c>
      <c r="C69" s="271" t="n">
        <f aca="false">'INSERÇÃO-DE-DADOS_PRODUTIVIDADE'!G11</f>
        <v>32.38</v>
      </c>
      <c r="D69" s="272" t="n">
        <f aca="false">'INSERÇÃO-DE-DADOS_PRODUTIVIDADE'!M11</f>
        <v>200</v>
      </c>
      <c r="E69" s="272" t="n">
        <f aca="false">IFERROR(C69/D69,0)</f>
        <v>0.1619</v>
      </c>
    </row>
    <row r="70" customFormat="false" ht="18.4" hidden="false" customHeight="false" outlineLevel="0" collapsed="false">
      <c r="B70" s="270" t="s">
        <v>150</v>
      </c>
      <c r="C70" s="271" t="n">
        <f aca="false">'INSERÇÃO-DE-DADOS_PRODUTIVIDADE'!G12</f>
        <v>401.47</v>
      </c>
      <c r="D70" s="272" t="n">
        <f aca="false">'INSERÇÃO-DE-DADOS_PRODUTIVIDADE'!M12</f>
        <v>1800</v>
      </c>
      <c r="E70" s="272" t="n">
        <f aca="false">IFERROR(C70/D70,0)</f>
        <v>0.223038888888889</v>
      </c>
    </row>
    <row r="71" customFormat="false" ht="51.75" hidden="false" customHeight="false" outlineLevel="0" collapsed="false">
      <c r="B71" s="270" t="s">
        <v>151</v>
      </c>
      <c r="C71" s="271" t="n">
        <f aca="false">'INSERÇÃO-DE-DADOS_PRODUTIVIDADE'!G13</f>
        <v>564.23</v>
      </c>
      <c r="D71" s="272" t="n">
        <f aca="false">'INSERÇÃO-DE-DADOS_PRODUTIVIDADE'!M13</f>
        <v>6000</v>
      </c>
      <c r="E71" s="272" t="n">
        <f aca="false">IFERROR(C71/D71,0)</f>
        <v>0.0940383333333333</v>
      </c>
    </row>
    <row r="72" customFormat="false" ht="18.4" hidden="false" customHeight="false" outlineLevel="0" collapsed="false">
      <c r="B72" s="270" t="s">
        <v>152</v>
      </c>
      <c r="C72" s="271" t="n">
        <f aca="false">'INSERÇÃO-DE-DADOS_PRODUTIVIDADE'!G14</f>
        <v>131.69</v>
      </c>
      <c r="D72" s="272" t="n">
        <f aca="false">'INSERÇÃO-DE-DADOS_PRODUTIVIDADE'!M14</f>
        <v>1800</v>
      </c>
      <c r="E72" s="272" t="n">
        <f aca="false">IFERROR(C72/D72,0)</f>
        <v>0.0731611111111111</v>
      </c>
    </row>
    <row r="73" customFormat="false" ht="18.4" hidden="false" customHeight="false" outlineLevel="0" collapsed="false">
      <c r="B73" s="270" t="s">
        <v>154</v>
      </c>
      <c r="C73" s="271" t="n">
        <f aca="false">'INSERÇÃO-DE-DADOS_PRODUTIVIDADE'!G15</f>
        <v>49.71</v>
      </c>
      <c r="D73" s="275" t="n">
        <f aca="false">'CUSTO M² COR'!G29</f>
        <v>0.000282828282828283</v>
      </c>
      <c r="E73" s="272" t="n">
        <f aca="false">IFERROR((C73*D73),0)</f>
        <v>0.0140593939393939</v>
      </c>
    </row>
    <row r="74" customFormat="false" ht="18.4" hidden="false" customHeight="false" outlineLevel="0" collapsed="false">
      <c r="B74" s="270" t="s">
        <v>155</v>
      </c>
      <c r="C74" s="271" t="n">
        <f aca="false">'INSERÇÃO-DE-DADOS_PRODUTIVIDADE'!G16</f>
        <v>49.71</v>
      </c>
      <c r="D74" s="275" t="n">
        <f aca="false">'CUSTO M² COR'!G30</f>
        <v>0.000282828282828283</v>
      </c>
      <c r="E74" s="272" t="n">
        <f aca="false">IFERROR((C74*D74),0)</f>
        <v>0.0140593939393939</v>
      </c>
    </row>
    <row r="75" customFormat="false" ht="18.4" hidden="false" customHeight="true" outlineLevel="0" collapsed="false">
      <c r="B75" s="276" t="s">
        <v>529</v>
      </c>
      <c r="C75" s="276"/>
      <c r="D75" s="276"/>
      <c r="E75" s="281" t="n">
        <f aca="false">TRUNC(SUM(E67:E74),0)</f>
        <v>1</v>
      </c>
    </row>
    <row r="76" customFormat="false" ht="17.25" hidden="false" customHeight="true" outlineLevel="0" collapsed="false">
      <c r="B76" s="279" t="s">
        <v>527</v>
      </c>
      <c r="C76" s="279"/>
      <c r="D76" s="279"/>
      <c r="E76" s="280" t="n">
        <f aca="false">SUM(E67:E74)</f>
        <v>1.11641962121212</v>
      </c>
    </row>
    <row r="78" customFormat="false" ht="17.15" hidden="false" customHeight="true" outlineLevel="0" collapsed="false">
      <c r="B78" s="268" t="s">
        <v>533</v>
      </c>
      <c r="C78" s="268"/>
      <c r="D78" s="268"/>
      <c r="E78" s="268"/>
    </row>
    <row r="79" customFormat="false" ht="12.8" hidden="false" customHeight="true" outlineLevel="0" collapsed="false">
      <c r="B79" s="214" t="s">
        <v>269</v>
      </c>
      <c r="C79" s="214" t="s">
        <v>298</v>
      </c>
      <c r="D79" s="269" t="s">
        <v>522</v>
      </c>
      <c r="E79" s="214" t="s">
        <v>523</v>
      </c>
    </row>
    <row r="80" customFormat="false" ht="12.8" hidden="false" customHeight="false" outlineLevel="0" collapsed="false">
      <c r="B80" s="214"/>
      <c r="C80" s="214"/>
      <c r="D80" s="269"/>
      <c r="E80" s="214"/>
    </row>
    <row r="81" customFormat="false" ht="48.5" hidden="false" customHeight="false" outlineLevel="0" collapsed="false">
      <c r="B81" s="214"/>
      <c r="C81" s="214" t="s">
        <v>134</v>
      </c>
      <c r="D81" s="214" t="s">
        <v>524</v>
      </c>
      <c r="E81" s="214" t="s">
        <v>525</v>
      </c>
    </row>
    <row r="82" customFormat="false" ht="18.4" hidden="false" customHeight="false" outlineLevel="0" collapsed="false">
      <c r="B82" s="270" t="s">
        <v>146</v>
      </c>
      <c r="C82" s="271" t="n">
        <f aca="false">'INSERÇÃO-DE-DADOS_PRODUTIVIDADE'!H9</f>
        <v>329.16</v>
      </c>
      <c r="D82" s="272" t="n">
        <f aca="false">'INSERÇÃO-DE-DADOS_PRODUTIVIDADE'!N9</f>
        <v>800</v>
      </c>
      <c r="E82" s="272" t="n">
        <f aca="false">IFERROR(C82/D82,0)</f>
        <v>0.41145</v>
      </c>
    </row>
    <row r="83" customFormat="false" ht="18.4" hidden="false" customHeight="false" outlineLevel="0" collapsed="false">
      <c r="B83" s="270" t="s">
        <v>526</v>
      </c>
      <c r="C83" s="271" t="n">
        <f aca="false">'INSERÇÃO-DE-DADOS_PRODUTIVIDADE'!H10</f>
        <v>0</v>
      </c>
      <c r="D83" s="272" t="n">
        <f aca="false">'INSERÇÃO-DE-DADOS_PRODUTIVIDADE'!N10</f>
        <v>1500</v>
      </c>
      <c r="E83" s="272" t="n">
        <f aca="false">IFERROR(C83/D83,0)</f>
        <v>0</v>
      </c>
      <c r="J83" s="0" t="s">
        <v>534</v>
      </c>
    </row>
    <row r="84" customFormat="false" ht="18.4" hidden="false" customHeight="false" outlineLevel="0" collapsed="false">
      <c r="B84" s="270" t="s">
        <v>148</v>
      </c>
      <c r="C84" s="271" t="n">
        <f aca="false">'INSERÇÃO-DE-DADOS_PRODUTIVIDADE'!H11</f>
        <v>26.12</v>
      </c>
      <c r="D84" s="272" t="n">
        <f aca="false">'INSERÇÃO-DE-DADOS_PRODUTIVIDADE'!N11</f>
        <v>200</v>
      </c>
      <c r="E84" s="272" t="n">
        <f aca="false">IFERROR(C84/D84,0)</f>
        <v>0.1306</v>
      </c>
    </row>
    <row r="85" customFormat="false" ht="18.4" hidden="false" customHeight="false" outlineLevel="0" collapsed="false">
      <c r="B85" s="270" t="s">
        <v>150</v>
      </c>
      <c r="C85" s="271" t="n">
        <f aca="false">'INSERÇÃO-DE-DADOS_PRODUTIVIDADE'!H12</f>
        <v>270.49</v>
      </c>
      <c r="D85" s="272" t="n">
        <f aca="false">'INSERÇÃO-DE-DADOS_PRODUTIVIDADE'!N12</f>
        <v>1800</v>
      </c>
      <c r="E85" s="272" t="n">
        <f aca="false">IFERROR(C85/D85,0)</f>
        <v>0.150272222222222</v>
      </c>
    </row>
    <row r="86" customFormat="false" ht="51.75" hidden="false" customHeight="false" outlineLevel="0" collapsed="false">
      <c r="B86" s="270" t="s">
        <v>151</v>
      </c>
      <c r="C86" s="271" t="n">
        <f aca="false">'INSERÇÃO-DE-DADOS_PRODUTIVIDADE'!H13</f>
        <v>145.11</v>
      </c>
      <c r="D86" s="272" t="n">
        <f aca="false">'INSERÇÃO-DE-DADOS_PRODUTIVIDADE'!N13</f>
        <v>6000</v>
      </c>
      <c r="E86" s="272" t="n">
        <f aca="false">IFERROR(C86/D86,0)</f>
        <v>0.024185</v>
      </c>
    </row>
    <row r="87" customFormat="false" ht="18.4" hidden="false" customHeight="false" outlineLevel="0" collapsed="false">
      <c r="B87" s="270" t="s">
        <v>152</v>
      </c>
      <c r="C87" s="271" t="n">
        <f aca="false">'INSERÇÃO-DE-DADOS_PRODUTIVIDADE'!H14</f>
        <v>216.44</v>
      </c>
      <c r="D87" s="272" t="n">
        <f aca="false">'INSERÇÃO-DE-DADOS_PRODUTIVIDADE'!N14</f>
        <v>1800</v>
      </c>
      <c r="E87" s="272" t="n">
        <f aca="false">IFERROR(C87/D87,0)</f>
        <v>0.120244444444444</v>
      </c>
    </row>
    <row r="88" customFormat="false" ht="18.4" hidden="false" customHeight="false" outlineLevel="0" collapsed="false">
      <c r="B88" s="270" t="s">
        <v>154</v>
      </c>
      <c r="C88" s="271" t="n">
        <f aca="false">'INSERÇÃO-DE-DADOS_PRODUTIVIDADE'!H15</f>
        <v>18.8</v>
      </c>
      <c r="D88" s="275" t="n">
        <f aca="false">'CUSTO M² PP'!G29</f>
        <v>0.000282828282828283</v>
      </c>
      <c r="E88" s="272" t="n">
        <f aca="false">IFERROR((C88*D88),0)</f>
        <v>0.00531717171717172</v>
      </c>
    </row>
    <row r="89" customFormat="false" ht="18.4" hidden="false" customHeight="false" outlineLevel="0" collapsed="false">
      <c r="B89" s="270" t="s">
        <v>155</v>
      </c>
      <c r="C89" s="271" t="n">
        <f aca="false">'INSERÇÃO-DE-DADOS_PRODUTIVIDADE'!H16</f>
        <v>18.8</v>
      </c>
      <c r="D89" s="275" t="n">
        <f aca="false">'CUSTO M² PP'!G30</f>
        <v>0.000282828282828283</v>
      </c>
      <c r="E89" s="272" t="n">
        <f aca="false">IFERROR((C89*D89),0)</f>
        <v>0.00531717171717172</v>
      </c>
    </row>
    <row r="90" customFormat="false" ht="18.4" hidden="false" customHeight="true" outlineLevel="0" collapsed="false">
      <c r="B90" s="276" t="s">
        <v>529</v>
      </c>
      <c r="C90" s="276"/>
      <c r="D90" s="276"/>
      <c r="E90" s="281" t="n">
        <f aca="false">ROUNDUP(SUM(E82:E89),0)</f>
        <v>1</v>
      </c>
    </row>
    <row r="91" customFormat="false" ht="17.25" hidden="false" customHeight="true" outlineLevel="0" collapsed="false">
      <c r="B91" s="279" t="s">
        <v>527</v>
      </c>
      <c r="C91" s="279"/>
      <c r="D91" s="279"/>
      <c r="E91" s="280" t="n">
        <f aca="false">SUM(E82:E89)</f>
        <v>0.84738601010101</v>
      </c>
    </row>
    <row r="93" customFormat="false" ht="17.15" hidden="false" customHeight="true" outlineLevel="0" collapsed="false">
      <c r="B93" s="268" t="s">
        <v>535</v>
      </c>
      <c r="C93" s="268"/>
      <c r="D93" s="268"/>
      <c r="E93" s="268"/>
    </row>
    <row r="94" customFormat="false" ht="12.8" hidden="false" customHeight="true" outlineLevel="0" collapsed="false">
      <c r="B94" s="214" t="s">
        <v>269</v>
      </c>
      <c r="C94" s="214" t="s">
        <v>298</v>
      </c>
      <c r="D94" s="269" t="s">
        <v>522</v>
      </c>
      <c r="E94" s="214" t="s">
        <v>523</v>
      </c>
    </row>
    <row r="95" customFormat="false" ht="12.8" hidden="false" customHeight="false" outlineLevel="0" collapsed="false">
      <c r="B95" s="214"/>
      <c r="C95" s="214"/>
      <c r="D95" s="269"/>
      <c r="E95" s="214"/>
    </row>
    <row r="96" customFormat="false" ht="48.5" hidden="false" customHeight="false" outlineLevel="0" collapsed="false">
      <c r="B96" s="214"/>
      <c r="C96" s="214" t="s">
        <v>134</v>
      </c>
      <c r="D96" s="214" t="s">
        <v>524</v>
      </c>
      <c r="E96" s="214" t="s">
        <v>525</v>
      </c>
    </row>
    <row r="97" customFormat="false" ht="18.4" hidden="false" customHeight="false" outlineLevel="0" collapsed="false">
      <c r="B97" s="270" t="s">
        <v>146</v>
      </c>
      <c r="C97" s="271" t="n">
        <f aca="false">'INSERÇÃO-DE-DADOS_PRODUTIVIDADE'!I9</f>
        <v>755.64</v>
      </c>
      <c r="D97" s="272" t="n">
        <f aca="false">'INSERÇÃO-DE-DADOS_PRODUTIVIDADE'!O9</f>
        <v>800</v>
      </c>
      <c r="E97" s="272" t="n">
        <f aca="false">IFERROR(C97/D97,0)</f>
        <v>0.94455</v>
      </c>
    </row>
    <row r="98" customFormat="false" ht="18.4" hidden="false" customHeight="false" outlineLevel="0" collapsed="false">
      <c r="B98" s="270" t="s">
        <v>526</v>
      </c>
      <c r="C98" s="271" t="n">
        <f aca="false">'INSERÇÃO-DE-DADOS_PRODUTIVIDADE'!I10</f>
        <v>12</v>
      </c>
      <c r="D98" s="272" t="n">
        <f aca="false">'INSERÇÃO-DE-DADOS_PRODUTIVIDADE'!O10</f>
        <v>1500</v>
      </c>
      <c r="E98" s="272" t="n">
        <f aca="false">IFERROR(C98/D98,0)</f>
        <v>0.008</v>
      </c>
    </row>
    <row r="99" customFormat="false" ht="18.4" hidden="false" customHeight="false" outlineLevel="0" collapsed="false">
      <c r="B99" s="270" t="s">
        <v>148</v>
      </c>
      <c r="C99" s="271" t="n">
        <f aca="false">'INSERÇÃO-DE-DADOS_PRODUTIVIDADE'!I11</f>
        <v>65.36</v>
      </c>
      <c r="D99" s="272" t="n">
        <f aca="false">'INSERÇÃO-DE-DADOS_PRODUTIVIDADE'!O11</f>
        <v>200</v>
      </c>
      <c r="E99" s="272" t="n">
        <f aca="false">IFERROR(C99/D99,0)</f>
        <v>0.3268</v>
      </c>
    </row>
    <row r="100" customFormat="false" ht="18.4" hidden="false" customHeight="false" outlineLevel="0" collapsed="false">
      <c r="B100" s="270" t="s">
        <v>150</v>
      </c>
      <c r="C100" s="271" t="n">
        <f aca="false">'INSERÇÃO-DE-DADOS_PRODUTIVIDADE'!I12</f>
        <v>118.15</v>
      </c>
      <c r="D100" s="272" t="n">
        <f aca="false">'INSERÇÃO-DE-DADOS_PRODUTIVIDADE'!O12</f>
        <v>1800</v>
      </c>
      <c r="E100" s="272" t="n">
        <f aca="false">IFERROR(C100/D100,0)</f>
        <v>0.0656388888888889</v>
      </c>
    </row>
    <row r="101" customFormat="false" ht="51.75" hidden="false" customHeight="false" outlineLevel="0" collapsed="false">
      <c r="B101" s="270" t="s">
        <v>151</v>
      </c>
      <c r="C101" s="271" t="n">
        <f aca="false">'INSERÇÃO-DE-DADOS_PRODUTIVIDADE'!I13</f>
        <v>492.42</v>
      </c>
      <c r="D101" s="272" t="n">
        <f aca="false">'INSERÇÃO-DE-DADOS_PRODUTIVIDADE'!O13</f>
        <v>6000</v>
      </c>
      <c r="E101" s="272" t="n">
        <f aca="false">IFERROR(C101/D101,0)</f>
        <v>0.08207</v>
      </c>
    </row>
    <row r="102" customFormat="false" ht="18.4" hidden="false" customHeight="false" outlineLevel="0" collapsed="false">
      <c r="B102" s="270" t="s">
        <v>152</v>
      </c>
      <c r="C102" s="271" t="n">
        <f aca="false">'INSERÇÃO-DE-DADOS_PRODUTIVIDADE'!I14</f>
        <v>29.95</v>
      </c>
      <c r="D102" s="272" t="n">
        <f aca="false">'INSERÇÃO-DE-DADOS_PRODUTIVIDADE'!O14</f>
        <v>1800</v>
      </c>
      <c r="E102" s="272" t="n">
        <f aca="false">IFERROR(C102/D102,0)</f>
        <v>0.0166388888888889</v>
      </c>
    </row>
    <row r="103" customFormat="false" ht="18.4" hidden="false" customHeight="false" outlineLevel="0" collapsed="false">
      <c r="B103" s="270" t="s">
        <v>154</v>
      </c>
      <c r="C103" s="271" t="n">
        <f aca="false">'INSERÇÃO-DE-DADOS_PRODUTIVIDADE'!I15</f>
        <v>195.01</v>
      </c>
      <c r="D103" s="275" t="n">
        <f aca="false">'CUSTO M² NAV'!G29</f>
        <v>0.000282828282828283</v>
      </c>
      <c r="E103" s="272" t="n">
        <f aca="false">IFERROR((C103*D103),0)</f>
        <v>0.0551543434343434</v>
      </c>
    </row>
    <row r="104" customFormat="false" ht="18.4" hidden="false" customHeight="false" outlineLevel="0" collapsed="false">
      <c r="B104" s="270" t="s">
        <v>155</v>
      </c>
      <c r="C104" s="271" t="n">
        <f aca="false">'INSERÇÃO-DE-DADOS_PRODUTIVIDADE'!I16</f>
        <v>195.01</v>
      </c>
      <c r="D104" s="275" t="n">
        <f aca="false">'CUSTO M² NAV'!G30</f>
        <v>0.000282828282828283</v>
      </c>
      <c r="E104" s="272" t="n">
        <f aca="false">IFERROR((C104*D104),0)</f>
        <v>0.0551543434343434</v>
      </c>
    </row>
    <row r="105" customFormat="false" ht="18.4" hidden="false" customHeight="true" outlineLevel="0" collapsed="false">
      <c r="B105" s="276" t="s">
        <v>529</v>
      </c>
      <c r="C105" s="276"/>
      <c r="D105" s="276"/>
      <c r="E105" s="281" t="n">
        <f aca="false">TRUNC(SUM(E97:E104),0)</f>
        <v>1</v>
      </c>
    </row>
    <row r="106" customFormat="false" ht="17.25" hidden="false" customHeight="true" outlineLevel="0" collapsed="false">
      <c r="B106" s="279" t="s">
        <v>527</v>
      </c>
      <c r="C106" s="279"/>
      <c r="D106" s="279"/>
      <c r="E106" s="280" t="n">
        <f aca="false">SUM(E97:E104)</f>
        <v>1.55400646464646</v>
      </c>
    </row>
    <row r="108" customFormat="false" ht="48.5" hidden="false" customHeight="true" outlineLevel="0" collapsed="false">
      <c r="B108" s="268" t="s">
        <v>536</v>
      </c>
      <c r="C108" s="268"/>
      <c r="D108" s="268"/>
      <c r="E108" s="268"/>
    </row>
    <row r="109" customFormat="false" ht="20.1" hidden="false" customHeight="true" outlineLevel="0" collapsed="false">
      <c r="B109" s="283" t="s">
        <v>537</v>
      </c>
      <c r="C109" s="283"/>
      <c r="D109" s="268"/>
      <c r="E109" s="268"/>
    </row>
    <row r="110" customFormat="false" ht="15.65" hidden="false" customHeight="true" outlineLevel="0" collapsed="false">
      <c r="B110" s="214" t="s">
        <v>538</v>
      </c>
      <c r="C110" s="214" t="s">
        <v>523</v>
      </c>
    </row>
    <row r="111" customFormat="false" ht="15.65" hidden="false" customHeight="true" outlineLevel="0" collapsed="false">
      <c r="B111" s="214"/>
      <c r="C111" s="214"/>
    </row>
    <row r="112" customFormat="false" ht="35.8" hidden="false" customHeight="true" outlineLevel="0" collapsed="false">
      <c r="B112" s="270" t="s">
        <v>101</v>
      </c>
      <c r="C112" s="271" t="n">
        <f aca="false">E29</f>
        <v>6</v>
      </c>
    </row>
    <row r="113" customFormat="false" ht="20.1" hidden="false" customHeight="true" outlineLevel="0" collapsed="false">
      <c r="B113" s="270" t="s">
        <v>102</v>
      </c>
      <c r="C113" s="271" t="n">
        <f aca="false">E44</f>
        <v>2</v>
      </c>
    </row>
    <row r="114" customFormat="false" ht="20.1" hidden="false" customHeight="true" outlineLevel="0" collapsed="false">
      <c r="B114" s="270" t="s">
        <v>103</v>
      </c>
      <c r="C114" s="271" t="n">
        <f aca="false">E60</f>
        <v>1</v>
      </c>
    </row>
    <row r="115" customFormat="false" ht="20.1" hidden="false" customHeight="true" outlineLevel="0" collapsed="false">
      <c r="B115" s="270" t="s">
        <v>104</v>
      </c>
      <c r="C115" s="271" t="n">
        <f aca="false">E75</f>
        <v>1</v>
      </c>
    </row>
    <row r="116" customFormat="false" ht="20.1" hidden="false" customHeight="true" outlineLevel="0" collapsed="false">
      <c r="B116" s="270" t="s">
        <v>105</v>
      </c>
      <c r="C116" s="271" t="n">
        <f aca="false">E90</f>
        <v>1</v>
      </c>
    </row>
    <row r="117" customFormat="false" ht="20.1" hidden="false" customHeight="true" outlineLevel="0" collapsed="false">
      <c r="B117" s="270" t="s">
        <v>106</v>
      </c>
      <c r="C117" s="271" t="n">
        <f aca="false">E105</f>
        <v>1</v>
      </c>
    </row>
    <row r="118" customFormat="false" ht="51.55" hidden="false" customHeight="true" outlineLevel="0" collapsed="false">
      <c r="B118" s="284" t="s">
        <v>539</v>
      </c>
      <c r="C118" s="271" t="n">
        <f aca="false">SUM(C112:C117)</f>
        <v>12</v>
      </c>
    </row>
    <row r="120" customFormat="false" ht="20.1" hidden="false" customHeight="true" outlineLevel="0" collapsed="false">
      <c r="B120" s="283" t="s">
        <v>540</v>
      </c>
      <c r="C120" s="283"/>
    </row>
    <row r="121" customFormat="false" ht="15.65" hidden="false" customHeight="true" outlineLevel="0" collapsed="false">
      <c r="B121" s="214" t="s">
        <v>538</v>
      </c>
      <c r="C121" s="214" t="s">
        <v>523</v>
      </c>
    </row>
    <row r="122" customFormat="false" ht="15.65" hidden="false" customHeight="true" outlineLevel="0" collapsed="false">
      <c r="B122" s="214"/>
      <c r="C122" s="214"/>
    </row>
    <row r="123" customFormat="false" ht="64.15" hidden="false" customHeight="false" outlineLevel="0" collapsed="false">
      <c r="B123" s="284" t="s">
        <v>541</v>
      </c>
      <c r="C123" s="271" t="n">
        <f aca="false">E14</f>
        <v>1</v>
      </c>
    </row>
    <row r="125" customFormat="false" ht="46.25" hidden="false" customHeight="true" outlineLevel="0" collapsed="false">
      <c r="B125" s="285" t="s">
        <v>542</v>
      </c>
      <c r="C125" s="285"/>
      <c r="D125" s="285"/>
      <c r="E125" s="285"/>
    </row>
  </sheetData>
  <mergeCells count="58">
    <mergeCell ref="B2:E2"/>
    <mergeCell ref="B3:B5"/>
    <mergeCell ref="C3:C4"/>
    <mergeCell ref="D3:D4"/>
    <mergeCell ref="E3:E4"/>
    <mergeCell ref="B14:D14"/>
    <mergeCell ref="B15:D15"/>
    <mergeCell ref="B17:E17"/>
    <mergeCell ref="B18:B20"/>
    <mergeCell ref="C18:C19"/>
    <mergeCell ref="D18:D19"/>
    <mergeCell ref="E18:E19"/>
    <mergeCell ref="B29:D29"/>
    <mergeCell ref="B30:D30"/>
    <mergeCell ref="B32:E32"/>
    <mergeCell ref="B33:B35"/>
    <mergeCell ref="C33:C34"/>
    <mergeCell ref="D33:D34"/>
    <mergeCell ref="E33:E34"/>
    <mergeCell ref="B44:D44"/>
    <mergeCell ref="B45:D45"/>
    <mergeCell ref="B47:E47"/>
    <mergeCell ref="B48:B50"/>
    <mergeCell ref="C48:C49"/>
    <mergeCell ref="D48:D49"/>
    <mergeCell ref="E48:E49"/>
    <mergeCell ref="B51:E51"/>
    <mergeCell ref="B60:D60"/>
    <mergeCell ref="B61:D61"/>
    <mergeCell ref="B63:E63"/>
    <mergeCell ref="B64:B66"/>
    <mergeCell ref="C64:C65"/>
    <mergeCell ref="D64:D65"/>
    <mergeCell ref="E64:E65"/>
    <mergeCell ref="B75:D75"/>
    <mergeCell ref="B76:D76"/>
    <mergeCell ref="B78:E78"/>
    <mergeCell ref="B79:B81"/>
    <mergeCell ref="C79:C80"/>
    <mergeCell ref="D79:D80"/>
    <mergeCell ref="E79:E80"/>
    <mergeCell ref="B90:D90"/>
    <mergeCell ref="B91:D91"/>
    <mergeCell ref="B93:E93"/>
    <mergeCell ref="B94:B96"/>
    <mergeCell ref="C94:C95"/>
    <mergeCell ref="D94:D95"/>
    <mergeCell ref="E94:E95"/>
    <mergeCell ref="B105:D105"/>
    <mergeCell ref="B106:D106"/>
    <mergeCell ref="B108:C108"/>
    <mergeCell ref="B109:C109"/>
    <mergeCell ref="B110:B111"/>
    <mergeCell ref="C110:C111"/>
    <mergeCell ref="B120:C120"/>
    <mergeCell ref="B121:B122"/>
    <mergeCell ref="C121:C122"/>
    <mergeCell ref="B125:E125"/>
  </mergeCells>
  <printOptions headings="false" gridLines="false" gridLinesSet="true" horizontalCentered="true" verticalCentered="false"/>
  <pageMargins left="0.511805555555555" right="0.511805555555555" top="0.354166666666667" bottom="0.7875" header="0.511805555555555" footer="0.511805555555555"/>
  <pageSetup paperSize="9" scale="7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F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9.71"/>
    <col collapsed="false" customWidth="true" hidden="false" outlineLevel="0" max="5" min="5" style="1" width="11.99"/>
    <col collapsed="false" customWidth="true" hidden="false" outlineLevel="0" max="6" min="6" style="1" width="17"/>
    <col collapsed="false" customWidth="true" hidden="false" outlineLevel="0" max="1025" min="7" style="1" width="9.13"/>
  </cols>
  <sheetData>
    <row r="1" s="3" customFormat="true" ht="25.5" hidden="false" customHeight="false" outlineLevel="0" collapsed="false">
      <c r="B1" s="43" t="s">
        <v>162</v>
      </c>
      <c r="C1" s="1"/>
      <c r="D1" s="1"/>
      <c r="E1" s="1"/>
      <c r="F1" s="1"/>
    </row>
    <row r="2" customFormat="false" ht="16.5" hidden="false" customHeight="false" outlineLevel="0" collapsed="false">
      <c r="B2" s="44" t="s">
        <v>48</v>
      </c>
      <c r="E2" s="45"/>
      <c r="F2" s="45"/>
    </row>
    <row r="3" customFormat="false" ht="33" hidden="false" customHeight="true" outlineLevel="0" collapsed="false">
      <c r="B3" s="19" t="n">
        <v>1</v>
      </c>
      <c r="C3" s="46" t="s">
        <v>49</v>
      </c>
      <c r="D3" s="46"/>
      <c r="E3" s="46"/>
      <c r="F3" s="47" t="s">
        <v>163</v>
      </c>
    </row>
    <row r="4" customFormat="false" ht="16.5" hidden="false" customHeight="true" outlineLevel="0" collapsed="false">
      <c r="B4" s="19" t="s">
        <v>14</v>
      </c>
      <c r="C4" s="71" t="s">
        <v>164</v>
      </c>
      <c r="D4" s="71"/>
      <c r="E4" s="71"/>
      <c r="F4" s="96" t="n">
        <v>220</v>
      </c>
    </row>
    <row r="5" customFormat="false" ht="16.5" hidden="false" customHeight="true" outlineLevel="0" collapsed="false">
      <c r="B5" s="19" t="s">
        <v>17</v>
      </c>
      <c r="C5" s="48" t="s">
        <v>165</v>
      </c>
      <c r="D5" s="48"/>
      <c r="E5" s="48"/>
      <c r="F5" s="97" t="n">
        <v>7</v>
      </c>
    </row>
    <row r="6" customFormat="false" ht="16.5" hidden="false" customHeight="true" outlineLevel="0" collapsed="false">
      <c r="B6" s="19" t="s">
        <v>19</v>
      </c>
      <c r="C6" s="71" t="s">
        <v>166</v>
      </c>
      <c r="D6" s="71"/>
      <c r="E6" s="71"/>
      <c r="F6" s="96" t="n">
        <v>365</v>
      </c>
    </row>
    <row r="7" customFormat="false" ht="16.5" hidden="false" customHeight="true" outlineLevel="0" collapsed="false">
      <c r="B7" s="19" t="s">
        <v>22</v>
      </c>
      <c r="C7" s="48" t="s">
        <v>167</v>
      </c>
      <c r="D7" s="48"/>
      <c r="E7" s="48"/>
      <c r="F7" s="98" t="n">
        <v>15.2</v>
      </c>
    </row>
    <row r="8" customFormat="false" ht="16.5" hidden="false" customHeight="true" outlineLevel="0" collapsed="false">
      <c r="B8" s="19" t="s">
        <v>25</v>
      </c>
      <c r="C8" s="71" t="s">
        <v>168</v>
      </c>
      <c r="D8" s="71"/>
      <c r="E8" s="71"/>
      <c r="F8" s="96" t="n">
        <v>12</v>
      </c>
    </row>
    <row r="9" customFormat="false" ht="16.5" hidden="false" customHeight="true" outlineLevel="0" collapsed="false">
      <c r="B9" s="19" t="s">
        <v>80</v>
      </c>
      <c r="C9" s="48" t="s">
        <v>169</v>
      </c>
      <c r="D9" s="48"/>
      <c r="E9" s="48"/>
      <c r="F9" s="97" t="n">
        <v>6</v>
      </c>
    </row>
    <row r="10" customFormat="false" ht="16.5" hidden="false" customHeight="true" outlineLevel="0" collapsed="false">
      <c r="B10" s="19" t="s">
        <v>170</v>
      </c>
      <c r="C10" s="65" t="s">
        <v>171</v>
      </c>
      <c r="D10" s="65"/>
      <c r="E10" s="65"/>
      <c r="F10" s="96" t="n">
        <v>60</v>
      </c>
    </row>
    <row r="11" customFormat="false" ht="16.5" hidden="false" customHeight="true" outlineLevel="0" collapsed="false">
      <c r="B11" s="19" t="s">
        <v>172</v>
      </c>
      <c r="C11" s="48" t="s">
        <v>173</v>
      </c>
      <c r="D11" s="48"/>
      <c r="E11" s="48"/>
      <c r="F11" s="97" t="n">
        <v>44</v>
      </c>
    </row>
    <row r="12" s="52" customFormat="true" ht="16.5" hidden="false" customHeight="false" outlineLevel="0" collapsed="false"/>
    <row r="13" s="52" customFormat="true" ht="16.5" hidden="false" customHeight="false" outlineLevel="0" collapsed="false">
      <c r="A13" s="1"/>
      <c r="B13" s="44" t="s">
        <v>55</v>
      </c>
      <c r="C13" s="1"/>
      <c r="D13" s="1"/>
      <c r="E13" s="53"/>
      <c r="F13" s="53"/>
    </row>
    <row r="14" s="52" customFormat="true" ht="16.5" hidden="false" customHeight="false" outlineLevel="0" collapsed="false">
      <c r="A14" s="1"/>
      <c r="B14" s="44" t="s">
        <v>56</v>
      </c>
      <c r="C14" s="13"/>
      <c r="D14" s="13"/>
      <c r="E14" s="13"/>
      <c r="F14" s="13"/>
    </row>
    <row r="15" s="52" customFormat="true" ht="15" hidden="false" customHeight="true" outlineLevel="0" collapsed="false">
      <c r="A15" s="1"/>
      <c r="B15" s="19" t="s">
        <v>57</v>
      </c>
      <c r="C15" s="46" t="s">
        <v>58</v>
      </c>
      <c r="D15" s="46"/>
      <c r="E15" s="47" t="s">
        <v>59</v>
      </c>
      <c r="F15" s="47" t="s">
        <v>174</v>
      </c>
    </row>
    <row r="16" s="52" customFormat="true" ht="16.5" hidden="false" customHeight="false" outlineLevel="0" collapsed="false">
      <c r="B16" s="54" t="s">
        <v>14</v>
      </c>
      <c r="C16" s="10" t="s">
        <v>175</v>
      </c>
      <c r="D16" s="10"/>
      <c r="E16" s="57" t="s">
        <v>77</v>
      </c>
      <c r="F16" s="99" t="n">
        <v>6</v>
      </c>
    </row>
    <row r="17" s="52" customFormat="true" ht="16.5" hidden="false" customHeight="false" outlineLevel="0" collapsed="false"/>
    <row r="18" s="3" customFormat="true" ht="16.5" hidden="false" customHeight="false" outlineLevel="0" collapsed="false">
      <c r="A18" s="52"/>
      <c r="B18" s="44" t="s">
        <v>176</v>
      </c>
      <c r="C18" s="59"/>
      <c r="D18" s="60"/>
      <c r="E18" s="61"/>
      <c r="F18" s="61"/>
    </row>
    <row r="19" s="3" customFormat="true" ht="16.5" hidden="false" customHeight="false" outlineLevel="0" collapsed="false">
      <c r="A19" s="52"/>
      <c r="B19" s="19" t="n">
        <v>3</v>
      </c>
      <c r="C19" s="64" t="s">
        <v>177</v>
      </c>
      <c r="D19" s="64"/>
      <c r="E19" s="64"/>
      <c r="F19" s="47" t="s">
        <v>174</v>
      </c>
    </row>
    <row r="20" s="3" customFormat="true" ht="16.5" hidden="false" customHeight="true" outlineLevel="0" collapsed="false">
      <c r="A20" s="52"/>
      <c r="B20" s="19" t="s">
        <v>14</v>
      </c>
      <c r="C20" s="71" t="s">
        <v>178</v>
      </c>
      <c r="D20" s="71"/>
      <c r="E20" s="71"/>
      <c r="F20" s="100" t="n">
        <v>56.24</v>
      </c>
    </row>
    <row r="21" customFormat="false" ht="16.5" hidden="false" customHeight="false" outlineLevel="0" collapsed="false">
      <c r="A21" s="52"/>
      <c r="B21" s="47" t="s">
        <v>17</v>
      </c>
      <c r="C21" s="101" t="s">
        <v>179</v>
      </c>
      <c r="D21" s="101"/>
      <c r="E21" s="101"/>
      <c r="F21" s="102" t="n">
        <v>5.55</v>
      </c>
    </row>
    <row r="22" s="3" customFormat="true" ht="15.95" hidden="false" customHeight="true" outlineLevel="0" collapsed="false">
      <c r="B22" s="47" t="s">
        <v>19</v>
      </c>
      <c r="C22" s="71" t="s">
        <v>180</v>
      </c>
      <c r="D22" s="71"/>
      <c r="E22" s="71"/>
      <c r="F22" s="103" t="n">
        <v>40</v>
      </c>
    </row>
    <row r="23" s="3" customFormat="true" ht="15.95" hidden="false" customHeight="true" outlineLevel="0" collapsed="false">
      <c r="A23" s="52"/>
      <c r="B23" s="47" t="s">
        <v>22</v>
      </c>
      <c r="C23" s="101" t="s">
        <v>181</v>
      </c>
      <c r="D23" s="101"/>
      <c r="E23" s="101"/>
      <c r="F23" s="99" t="n">
        <v>10</v>
      </c>
    </row>
    <row r="24" customFormat="false" ht="16.5" hidden="false" customHeight="true" outlineLevel="0" collapsed="false">
      <c r="A24" s="52"/>
      <c r="B24" s="47" t="s">
        <v>25</v>
      </c>
      <c r="C24" s="71" t="s">
        <v>182</v>
      </c>
      <c r="D24" s="71"/>
      <c r="E24" s="71"/>
      <c r="F24" s="100" t="n">
        <v>94.45</v>
      </c>
    </row>
    <row r="25" customFormat="false" ht="16.5" hidden="false" customHeight="false" outlineLevel="0" collapsed="false">
      <c r="A25" s="52"/>
      <c r="B25" s="47" t="s">
        <v>80</v>
      </c>
      <c r="C25" s="101" t="s">
        <v>183</v>
      </c>
      <c r="D25" s="101"/>
      <c r="E25" s="101"/>
      <c r="F25" s="99" t="n">
        <v>30</v>
      </c>
    </row>
    <row r="26" s="52" customFormat="true" ht="16.5" hidden="false" customHeight="false" outlineLevel="0" collapsed="false"/>
    <row r="27" s="3" customFormat="true" ht="16.5" hidden="false" customHeight="false" outlineLevel="0" collapsed="false">
      <c r="B27" s="44" t="s">
        <v>82</v>
      </c>
      <c r="C27" s="59"/>
      <c r="D27" s="60"/>
      <c r="E27" s="1"/>
      <c r="F27" s="1"/>
    </row>
    <row r="28" s="3" customFormat="true" ht="15" hidden="false" customHeight="true" outlineLevel="0" collapsed="false">
      <c r="B28" s="44" t="s">
        <v>83</v>
      </c>
      <c r="C28" s="59"/>
      <c r="D28" s="60"/>
      <c r="E28" s="61"/>
      <c r="F28" s="61"/>
    </row>
    <row r="29" s="3" customFormat="true" ht="16.5" hidden="false" customHeight="true" outlineLevel="0" collapsed="false">
      <c r="B29" s="19" t="s">
        <v>84</v>
      </c>
      <c r="C29" s="46" t="s">
        <v>85</v>
      </c>
      <c r="D29" s="46"/>
      <c r="E29" s="46"/>
      <c r="F29" s="47" t="s">
        <v>174</v>
      </c>
    </row>
    <row r="30" s="3" customFormat="true" ht="16.5" hidden="false" customHeight="true" outlineLevel="0" collapsed="false">
      <c r="B30" s="19" t="s">
        <v>14</v>
      </c>
      <c r="C30" s="71" t="s">
        <v>184</v>
      </c>
      <c r="D30" s="71"/>
      <c r="E30" s="71"/>
      <c r="F30" s="103" t="n">
        <v>8</v>
      </c>
    </row>
    <row r="31" customFormat="false" ht="16.5" hidden="false" customHeight="true" outlineLevel="0" collapsed="false">
      <c r="A31" s="3"/>
      <c r="B31" s="47" t="s">
        <v>17</v>
      </c>
      <c r="C31" s="23" t="s">
        <v>185</v>
      </c>
      <c r="D31" s="23"/>
      <c r="E31" s="23"/>
      <c r="F31" s="99" t="n">
        <v>20</v>
      </c>
    </row>
    <row r="32" customFormat="false" ht="16.5" hidden="false" customHeight="true" outlineLevel="0" collapsed="false">
      <c r="A32" s="3"/>
      <c r="B32" s="47" t="s">
        <v>19</v>
      </c>
      <c r="C32" s="71" t="s">
        <v>186</v>
      </c>
      <c r="D32" s="71"/>
      <c r="E32" s="71"/>
      <c r="F32" s="100" t="n">
        <v>1.42</v>
      </c>
    </row>
    <row r="33" customFormat="false" ht="16.5" hidden="false" customHeight="true" outlineLevel="0" collapsed="false">
      <c r="A33" s="3"/>
      <c r="B33" s="47" t="s">
        <v>22</v>
      </c>
      <c r="C33" s="23" t="s">
        <v>187</v>
      </c>
      <c r="D33" s="23"/>
      <c r="E33" s="23"/>
      <c r="F33" s="102" t="n">
        <v>45.22</v>
      </c>
    </row>
    <row r="34" s="3" customFormat="true" ht="15.95" hidden="false" customHeight="true" outlineLevel="0" collapsed="false">
      <c r="A34" s="1"/>
      <c r="B34" s="47" t="s">
        <v>25</v>
      </c>
      <c r="C34" s="71" t="s">
        <v>188</v>
      </c>
      <c r="D34" s="71"/>
      <c r="E34" s="71"/>
      <c r="F34" s="100" t="n">
        <f aca="false">(154800/34808000)*100</f>
        <v>0.444725350494139</v>
      </c>
    </row>
    <row r="35" customFormat="false" ht="15.75" hidden="false" customHeight="true" outlineLevel="0" collapsed="false">
      <c r="A35" s="3"/>
      <c r="B35" s="47" t="s">
        <v>80</v>
      </c>
      <c r="C35" s="23" t="s">
        <v>189</v>
      </c>
      <c r="D35" s="23"/>
      <c r="E35" s="23"/>
      <c r="F35" s="99" t="n">
        <v>15</v>
      </c>
    </row>
    <row r="36" customFormat="false" ht="15.75" hidden="false" customHeight="true" outlineLevel="0" collapsed="false">
      <c r="A36" s="3"/>
      <c r="B36" s="47" t="s">
        <v>170</v>
      </c>
      <c r="C36" s="71" t="s">
        <v>190</v>
      </c>
      <c r="D36" s="71"/>
      <c r="E36" s="71"/>
      <c r="F36" s="103" t="n">
        <v>180</v>
      </c>
    </row>
    <row r="37" customFormat="false" ht="16.5" hidden="false" customHeight="true" outlineLevel="0" collapsed="false">
      <c r="A37" s="3"/>
      <c r="B37" s="47" t="s">
        <v>172</v>
      </c>
      <c r="C37" s="23" t="s">
        <v>191</v>
      </c>
      <c r="D37" s="23"/>
      <c r="E37" s="23"/>
      <c r="F37" s="102" t="n">
        <v>54.78</v>
      </c>
    </row>
    <row r="38" s="52" customFormat="true" ht="8.25" hidden="false" customHeight="true" outlineLevel="0" collapsed="false"/>
    <row r="39" customFormat="false" ht="16.5" hidden="false" customHeight="false" outlineLevel="0" collapsed="false">
      <c r="B39" s="44" t="s">
        <v>192</v>
      </c>
      <c r="C39" s="59"/>
      <c r="D39" s="60"/>
      <c r="E39" s="61"/>
      <c r="F39" s="61"/>
    </row>
    <row r="40" customFormat="false" ht="16.5" hidden="false" customHeight="false" outlineLevel="0" collapsed="false">
      <c r="B40" s="19" t="s">
        <v>89</v>
      </c>
      <c r="C40" s="64" t="s">
        <v>193</v>
      </c>
      <c r="D40" s="64"/>
      <c r="E40" s="64"/>
      <c r="F40" s="47" t="s">
        <v>194</v>
      </c>
    </row>
    <row r="41" customFormat="false" ht="16.5" hidden="false" customHeight="true" outlineLevel="0" collapsed="false">
      <c r="B41" s="19" t="s">
        <v>14</v>
      </c>
      <c r="C41" s="65" t="s">
        <v>92</v>
      </c>
      <c r="D41" s="65"/>
      <c r="E41" s="65"/>
      <c r="F41" s="96" t="n">
        <f aca="false">PERC_HORA_EXTRA</f>
        <v>0</v>
      </c>
    </row>
    <row r="42" customFormat="false" ht="15" hidden="false" customHeight="true" outlineLevel="0" collapsed="false">
      <c r="B42" s="19" t="s">
        <v>17</v>
      </c>
      <c r="C42" s="23" t="s">
        <v>93</v>
      </c>
      <c r="D42" s="23"/>
      <c r="E42" s="23"/>
      <c r="F42" s="97" t="n">
        <f aca="false">TEMPO_INTERVALO_REFEICAO</f>
        <v>0</v>
      </c>
    </row>
    <row r="43" s="52" customFormat="true" ht="16.5" hidden="false" customHeight="false" outlineLevel="0" collapsed="false"/>
    <row r="44" customFormat="false" ht="20.25" hidden="false" customHeight="false" outlineLevel="0" collapsed="false">
      <c r="B44" s="76" t="s">
        <v>116</v>
      </c>
      <c r="C44" s="77"/>
      <c r="D44" s="77"/>
      <c r="E44" s="77"/>
      <c r="F44" s="78"/>
    </row>
    <row r="45" customFormat="false" ht="33.75" hidden="false" customHeight="true" outlineLevel="0" collapsed="false">
      <c r="B45" s="79" t="s">
        <v>117</v>
      </c>
      <c r="C45" s="79"/>
      <c r="D45" s="79"/>
      <c r="E45" s="79"/>
      <c r="F45" s="79"/>
    </row>
  </sheetData>
  <mergeCells count="31">
    <mergeCell ref="C3:E3"/>
    <mergeCell ref="C4:E4"/>
    <mergeCell ref="C5:E5"/>
    <mergeCell ref="C6:E6"/>
    <mergeCell ref="C7:E7"/>
    <mergeCell ref="C8:E8"/>
    <mergeCell ref="C9:E9"/>
    <mergeCell ref="C10:E10"/>
    <mergeCell ref="C11:E11"/>
    <mergeCell ref="C15:D15"/>
    <mergeCell ref="C16:D16"/>
    <mergeCell ref="C19:E19"/>
    <mergeCell ref="C20:E20"/>
    <mergeCell ref="C21:E21"/>
    <mergeCell ref="C22:E22"/>
    <mergeCell ref="C23:E23"/>
    <mergeCell ref="C24:E24"/>
    <mergeCell ref="C25:E25"/>
    <mergeCell ref="C29:E29"/>
    <mergeCell ref="C30:E30"/>
    <mergeCell ref="C31:E31"/>
    <mergeCell ref="C32:E32"/>
    <mergeCell ref="C33:E33"/>
    <mergeCell ref="C34:E34"/>
    <mergeCell ref="C35:E35"/>
    <mergeCell ref="C36:E36"/>
    <mergeCell ref="C37:E37"/>
    <mergeCell ref="C40:E40"/>
    <mergeCell ref="C41:E41"/>
    <mergeCell ref="C42:E42"/>
    <mergeCell ref="B45:F45"/>
  </mergeCells>
  <dataValidations count="1">
    <dataValidation allowBlank="true" operator="between" prompt="Segundo estudos da Audin-MPU, esse item não é usual nas planilhas do MPU. Verifique se realmente há necessidade de incluí-lo." promptTitle="Intervalo Intrajornada" showDropDown="false" showErrorMessage="true" showInputMessage="true" sqref="F41:F42" type="none">
      <formula1>0</formula1>
      <formula2>0</formula2>
    </dataValidation>
  </dataValidations>
  <printOptions headings="false" gridLines="false" gridLinesSet="true" horizontalCentered="false" verticalCentered="false"/>
  <pageMargins left="0.511805555555555" right="0.511805555555555" top="0.7875" bottom="0.7875" header="0.511805555555555" footer="0.511805555555555"/>
  <pageSetup paperSize="9" scale="8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B1:G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22.01"/>
    <col collapsed="false" customWidth="true" hidden="false" outlineLevel="0" max="5" min="5" style="1" width="13.57"/>
    <col collapsed="false" customWidth="true" hidden="false" outlineLevel="0" max="6" min="6" style="1" width="38.86"/>
    <col collapsed="false" customWidth="true" hidden="false" outlineLevel="0" max="7" min="7" style="1" width="50.41"/>
    <col collapsed="false" customWidth="true" hidden="false" outlineLevel="0" max="1025" min="8" style="1" width="9.13"/>
  </cols>
  <sheetData>
    <row r="1" s="3" customFormat="true" ht="25.5" hidden="false" customHeight="false" outlineLevel="0" collapsed="false">
      <c r="B1" s="43" t="s">
        <v>195</v>
      </c>
      <c r="C1" s="1"/>
      <c r="D1" s="1"/>
      <c r="E1" s="1"/>
      <c r="F1" s="1"/>
      <c r="G1" s="1"/>
    </row>
    <row r="2" customFormat="false" ht="16.5" hidden="false" customHeight="false" outlineLevel="0" collapsed="false">
      <c r="B2" s="44" t="s">
        <v>55</v>
      </c>
      <c r="E2" s="53"/>
    </row>
    <row r="3" customFormat="false" ht="16.5" hidden="false" customHeight="false" outlineLevel="0" collapsed="false">
      <c r="B3" s="44" t="s">
        <v>196</v>
      </c>
      <c r="C3" s="59"/>
      <c r="D3" s="60"/>
      <c r="E3" s="61"/>
    </row>
    <row r="4" customFormat="false" ht="16.5" hidden="false" customHeight="false" outlineLevel="0" collapsed="false">
      <c r="B4" s="19" t="s">
        <v>197</v>
      </c>
      <c r="C4" s="64" t="s">
        <v>198</v>
      </c>
      <c r="D4" s="64"/>
      <c r="E4" s="47" t="s">
        <v>86</v>
      </c>
      <c r="F4" s="47" t="s">
        <v>199</v>
      </c>
    </row>
    <row r="5" customFormat="false" ht="16.5" hidden="false" customHeight="true" outlineLevel="0" collapsed="false">
      <c r="B5" s="19" t="s">
        <v>14</v>
      </c>
      <c r="C5" s="71" t="s">
        <v>200</v>
      </c>
      <c r="D5" s="71"/>
      <c r="E5" s="104" t="n">
        <f aca="false">(1/MESES_NO_ANO)*100</f>
        <v>8.33333333333333</v>
      </c>
      <c r="F5" s="104" t="s">
        <v>201</v>
      </c>
    </row>
    <row r="6" s="105" customFormat="true" ht="16.5" hidden="false" customHeight="true" outlineLevel="0" collapsed="false">
      <c r="B6" s="47" t="s">
        <v>17</v>
      </c>
      <c r="C6" s="23" t="s">
        <v>202</v>
      </c>
      <c r="D6" s="23"/>
      <c r="E6" s="106" t="n">
        <f aca="false">(1/3)/MESES_NO_ANO*100</f>
        <v>2.77777777777778</v>
      </c>
      <c r="F6" s="106" t="s">
        <v>203</v>
      </c>
    </row>
    <row r="7" s="52" customFormat="true" ht="16.5" hidden="false" customHeight="true" outlineLevel="0" collapsed="false">
      <c r="B7" s="107" t="s">
        <v>204</v>
      </c>
      <c r="C7" s="107"/>
      <c r="D7" s="107"/>
      <c r="E7" s="107"/>
      <c r="F7" s="107"/>
    </row>
    <row r="8" s="52" customFormat="true" ht="34.5" hidden="false" customHeight="true" outlineLevel="0" collapsed="false">
      <c r="B8" s="19" t="s">
        <v>205</v>
      </c>
      <c r="C8" s="108" t="s">
        <v>206</v>
      </c>
      <c r="D8" s="108"/>
      <c r="E8" s="47" t="s">
        <v>86</v>
      </c>
    </row>
    <row r="9" customFormat="false" ht="16.5" hidden="false" customHeight="true" outlineLevel="0" collapsed="false">
      <c r="B9" s="19" t="s">
        <v>14</v>
      </c>
      <c r="C9" s="71" t="s">
        <v>207</v>
      </c>
      <c r="D9" s="71"/>
      <c r="E9" s="104" t="n">
        <v>20</v>
      </c>
    </row>
    <row r="10" s="3" customFormat="true" ht="16.5" hidden="false" customHeight="true" outlineLevel="0" collapsed="false">
      <c r="B10" s="47" t="s">
        <v>17</v>
      </c>
      <c r="C10" s="23" t="s">
        <v>208</v>
      </c>
      <c r="D10" s="23"/>
      <c r="E10" s="109" t="n">
        <v>2.5</v>
      </c>
    </row>
    <row r="11" s="3" customFormat="true" ht="16.5" hidden="false" customHeight="true" outlineLevel="0" collapsed="false">
      <c r="B11" s="47" t="s">
        <v>19</v>
      </c>
      <c r="C11" s="71" t="s">
        <v>209</v>
      </c>
      <c r="D11" s="71"/>
      <c r="E11" s="104" t="n">
        <v>3</v>
      </c>
    </row>
    <row r="12" s="3" customFormat="true" ht="16.5" hidden="false" customHeight="true" outlineLevel="0" collapsed="false">
      <c r="B12" s="47" t="s">
        <v>22</v>
      </c>
      <c r="C12" s="23" t="s">
        <v>210</v>
      </c>
      <c r="D12" s="23"/>
      <c r="E12" s="106" t="n">
        <v>1.5</v>
      </c>
    </row>
    <row r="13" s="3" customFormat="true" ht="16.5" hidden="false" customHeight="true" outlineLevel="0" collapsed="false">
      <c r="B13" s="47" t="s">
        <v>25</v>
      </c>
      <c r="C13" s="71" t="s">
        <v>211</v>
      </c>
      <c r="D13" s="71"/>
      <c r="E13" s="104" t="n">
        <v>1</v>
      </c>
    </row>
    <row r="14" s="13" customFormat="true" ht="16.5" hidden="false" customHeight="true" outlineLevel="0" collapsed="false">
      <c r="B14" s="47" t="s">
        <v>80</v>
      </c>
      <c r="C14" s="23" t="s">
        <v>212</v>
      </c>
      <c r="D14" s="23"/>
      <c r="E14" s="109" t="n">
        <v>0.6</v>
      </c>
    </row>
    <row r="15" s="13" customFormat="true" ht="16.5" hidden="false" customHeight="true" outlineLevel="0" collapsed="false">
      <c r="B15" s="47" t="s">
        <v>170</v>
      </c>
      <c r="C15" s="71" t="s">
        <v>213</v>
      </c>
      <c r="D15" s="71"/>
      <c r="E15" s="104" t="n">
        <v>0.2</v>
      </c>
    </row>
    <row r="16" customFormat="false" ht="16.5" hidden="false" customHeight="true" outlineLevel="0" collapsed="false">
      <c r="B16" s="47" t="s">
        <v>172</v>
      </c>
      <c r="C16" s="23" t="s">
        <v>214</v>
      </c>
      <c r="D16" s="23"/>
      <c r="E16" s="109" t="n">
        <v>8</v>
      </c>
    </row>
    <row r="17" customFormat="false" ht="16.5" hidden="false" customHeight="false" outlineLevel="0" collapsed="false">
      <c r="B17" s="64" t="s">
        <v>215</v>
      </c>
      <c r="C17" s="64"/>
      <c r="D17" s="64"/>
      <c r="E17" s="110" t="n">
        <f aca="false">SUM(E9:E16)</f>
        <v>36.8</v>
      </c>
    </row>
    <row r="18" s="52" customFormat="true" ht="16.5" hidden="false" customHeight="false" outlineLevel="0" collapsed="false">
      <c r="B18" s="44" t="s">
        <v>176</v>
      </c>
      <c r="C18" s="59"/>
      <c r="D18" s="60"/>
      <c r="E18" s="61"/>
    </row>
    <row r="19" s="52" customFormat="true" ht="15" hidden="false" customHeight="true" outlineLevel="0" collapsed="false">
      <c r="B19" s="19" t="n">
        <v>3</v>
      </c>
      <c r="C19" s="64" t="s">
        <v>177</v>
      </c>
      <c r="D19" s="64"/>
      <c r="E19" s="47" t="s">
        <v>86</v>
      </c>
      <c r="F19" s="47" t="s">
        <v>199</v>
      </c>
    </row>
    <row r="20" s="52" customFormat="true" ht="16.5" hidden="false" customHeight="false" outlineLevel="0" collapsed="false">
      <c r="B20" s="19" t="s">
        <v>14</v>
      </c>
      <c r="C20" s="111" t="s">
        <v>216</v>
      </c>
      <c r="D20" s="111"/>
      <c r="E20" s="104" t="n">
        <f aca="false">PERC_EMPREG_DEMIT_SEM_JUSTA_CAUSA_TOTAL_DESLIG%*PERC_EMPREG_AVISO_PREVIO_IND%*1/MESES_NO_ANO*100</f>
        <v>0.26011</v>
      </c>
      <c r="F20" s="104" t="s">
        <v>217</v>
      </c>
    </row>
    <row r="21" s="52" customFormat="true" ht="16.5" hidden="false" customHeight="false" outlineLevel="0" collapsed="false">
      <c r="B21" s="47" t="s">
        <v>17</v>
      </c>
      <c r="C21" s="112" t="s">
        <v>218</v>
      </c>
      <c r="D21" s="112"/>
      <c r="E21" s="109" t="n">
        <f aca="false">PERC_FGTS%*PERC_AVISO_PREVIO_IND</f>
        <v>0.0208088</v>
      </c>
      <c r="F21" s="106" t="s">
        <v>219</v>
      </c>
    </row>
    <row r="22" s="3" customFormat="true" ht="16.5" hidden="false" customHeight="false" outlineLevel="0" collapsed="false">
      <c r="B22" s="47" t="s">
        <v>19</v>
      </c>
      <c r="C22" s="111" t="s">
        <v>220</v>
      </c>
      <c r="D22" s="111"/>
      <c r="E22" s="104" t="n">
        <f aca="false">PERC_AVISO_PREVIO_IND%*(PERC_MULTA_FGTS%+PERC_CONTRIB_SOCIAL%)*PERC_FGTS%*100</f>
        <v>0.0104044</v>
      </c>
      <c r="F22" s="104" t="s">
        <v>221</v>
      </c>
    </row>
    <row r="23" s="52" customFormat="true" ht="16.5" hidden="false" customHeight="false" outlineLevel="0" collapsed="false">
      <c r="B23" s="47" t="s">
        <v>22</v>
      </c>
      <c r="C23" s="112" t="s">
        <v>222</v>
      </c>
      <c r="D23" s="112"/>
      <c r="E23" s="109" t="n">
        <f aca="false">PERC_EMPREG_DEMIT_SEM_JUSTA_CAUSA_TOTAL_DESLIG%*PERC_EMPREG_AVISO_PREVIO_TRAB%*(DIAS_NA_SEMANA/DIAS_NO_MES)/MESES_NO_ANO*100</f>
        <v>1.03286322222222</v>
      </c>
      <c r="F23" s="106" t="s">
        <v>223</v>
      </c>
    </row>
    <row r="24" s="3" customFormat="true" ht="16.5" hidden="false" customHeight="false" outlineLevel="0" collapsed="false">
      <c r="B24" s="47" t="s">
        <v>25</v>
      </c>
      <c r="C24" s="111" t="s">
        <v>224</v>
      </c>
      <c r="D24" s="111"/>
      <c r="E24" s="104" t="n">
        <f aca="false">PERC_GPS_FGTS*PERC_AVISO_PREVIO_TRAB%</f>
        <v>0.380093665777778</v>
      </c>
      <c r="F24" s="104" t="s">
        <v>225</v>
      </c>
    </row>
    <row r="25" s="3" customFormat="true" ht="16.5" hidden="false" customHeight="false" outlineLevel="0" collapsed="false">
      <c r="B25" s="47" t="s">
        <v>80</v>
      </c>
      <c r="C25" s="112" t="s">
        <v>226</v>
      </c>
      <c r="D25" s="112"/>
      <c r="E25" s="109" t="n">
        <f aca="false">ROUNDUP(PERC_AVISO_PREVIO_TRAB%*(PERC_MULTA_FGTS%+PERC_CONTRIB_SOCIAL%)*PERC_FGTS%*100,2)</f>
        <v>0.05</v>
      </c>
      <c r="F25" s="106" t="s">
        <v>227</v>
      </c>
    </row>
    <row r="26" s="3" customFormat="true" ht="15.95" hidden="false" customHeight="true" outlineLevel="0" collapsed="false">
      <c r="B26" s="44" t="s">
        <v>82</v>
      </c>
      <c r="C26" s="59"/>
      <c r="D26" s="60"/>
      <c r="E26" s="1"/>
    </row>
    <row r="27" s="3" customFormat="true" ht="15.95" hidden="false" customHeight="true" outlineLevel="0" collapsed="false">
      <c r="B27" s="44" t="s">
        <v>83</v>
      </c>
      <c r="C27" s="59"/>
      <c r="D27" s="60"/>
      <c r="E27" s="61"/>
    </row>
    <row r="28" s="3" customFormat="true" ht="16.5" hidden="false" customHeight="true" outlineLevel="0" collapsed="false">
      <c r="B28" s="19" t="s">
        <v>84</v>
      </c>
      <c r="C28" s="46" t="s">
        <v>85</v>
      </c>
      <c r="D28" s="46"/>
      <c r="E28" s="47" t="s">
        <v>86</v>
      </c>
      <c r="F28" s="47" t="s">
        <v>199</v>
      </c>
    </row>
    <row r="29" s="3" customFormat="true" ht="15.95" hidden="false" customHeight="true" outlineLevel="0" collapsed="false">
      <c r="B29" s="47" t="s">
        <v>14</v>
      </c>
      <c r="C29" s="71" t="s">
        <v>228</v>
      </c>
      <c r="D29" s="71"/>
      <c r="E29" s="104" t="n">
        <f aca="false">(1/MESES_NO_ANO)*100</f>
        <v>8.33333333333333</v>
      </c>
      <c r="F29" s="104" t="s">
        <v>229</v>
      </c>
    </row>
    <row r="30" s="3" customFormat="true" ht="15.95" hidden="false" customHeight="true" outlineLevel="0" collapsed="false">
      <c r="B30" s="47" t="s">
        <v>17</v>
      </c>
      <c r="C30" s="23" t="s">
        <v>230</v>
      </c>
      <c r="D30" s="23"/>
      <c r="E30" s="109" t="n">
        <f aca="false">(DIAS_AUSENCIAS_LEGAIS/DIAS_NO_MES)/MESES_NO_ANO*100</f>
        <v>2.22222222222222</v>
      </c>
      <c r="F30" s="106" t="s">
        <v>231</v>
      </c>
    </row>
    <row r="31" s="3" customFormat="true" ht="15.95" hidden="false" customHeight="true" outlineLevel="0" collapsed="false">
      <c r="B31" s="47" t="s">
        <v>19</v>
      </c>
      <c r="C31" s="71" t="s">
        <v>232</v>
      </c>
      <c r="D31" s="71"/>
      <c r="E31" s="104" t="n">
        <f aca="false">(((DIAS_LICENCA_PATERNIDADE/DIAS_NO_MES)/MESES_NO_ANO)*PERC_NASCIDOS_VIVOS_POPUL_FEM%*PERC_PARTIC_MASC_VIGIL%)*100</f>
        <v>0.0356735555555555</v>
      </c>
      <c r="F31" s="104" t="s">
        <v>233</v>
      </c>
    </row>
    <row r="32" s="3" customFormat="true" ht="16.5" hidden="false" customHeight="true" outlineLevel="0" collapsed="false">
      <c r="B32" s="47" t="s">
        <v>22</v>
      </c>
      <c r="C32" s="23" t="s">
        <v>234</v>
      </c>
      <c r="D32" s="23"/>
      <c r="E32" s="109" t="n">
        <f aca="false">(DIAS_PAGOS_EMPRESA_ACID_TRAB/DIAS_NO_MES)/MESES_NO_ANO*PERC_EMPREG_AFAST_TRAB%*100</f>
        <v>0.0185302229372558</v>
      </c>
      <c r="F32" s="106" t="s">
        <v>235</v>
      </c>
    </row>
    <row r="33" s="3" customFormat="true" ht="33" hidden="false" customHeight="true" outlineLevel="0" collapsed="false">
      <c r="B33" s="47" t="s">
        <v>25</v>
      </c>
      <c r="C33" s="71" t="s">
        <v>236</v>
      </c>
      <c r="D33" s="71"/>
      <c r="E33" s="104" t="n">
        <f aca="false">(((DIAS_LICENCA_MATERNIDADE/DIAS_NO_MES)/MESES_NO_ANO)*PERC_NASCIDOS_VIVOS_POPUL_FEM%*PERC_PARTIC_FEM_VIGIL%*PERC_GPS_FGTS%*100)</f>
        <v>0.143129184</v>
      </c>
      <c r="F33" s="104" t="s">
        <v>237</v>
      </c>
    </row>
    <row r="34" s="3" customFormat="true" ht="16.5" hidden="false" customHeight="false" outlineLevel="0" collapsed="false">
      <c r="B34" s="47" t="s">
        <v>80</v>
      </c>
      <c r="C34" s="23" t="str">
        <f aca="false">OUTRAS_AUSENCIAS_DESCRICAO</f>
        <v>Outras Ausências (Especificar em %)</v>
      </c>
      <c r="D34" s="23"/>
      <c r="E34" s="109" t="n">
        <f aca="false">PERC_SUBSTITUTO_OUTRAS_AUSENCIAS</f>
        <v>0</v>
      </c>
      <c r="F34" s="106"/>
      <c r="G34" s="1"/>
    </row>
    <row r="35" customFormat="false" ht="16.5" hidden="false" customHeight="false" outlineLevel="0" collapsed="false">
      <c r="G35" s="78"/>
    </row>
    <row r="36" customFormat="false" ht="20.25" hidden="false" customHeight="false" outlineLevel="0" collapsed="false">
      <c r="B36" s="76" t="s">
        <v>116</v>
      </c>
      <c r="C36" s="77"/>
      <c r="D36" s="77"/>
      <c r="E36" s="77"/>
      <c r="G36" s="113"/>
    </row>
    <row r="37" customFormat="false" ht="43.5" hidden="false" customHeight="true" outlineLevel="0" collapsed="false">
      <c r="B37" s="79" t="s">
        <v>117</v>
      </c>
      <c r="C37" s="79"/>
      <c r="D37" s="79"/>
      <c r="E37" s="79"/>
      <c r="F37" s="79"/>
    </row>
  </sheetData>
  <mergeCells count="28">
    <mergeCell ref="C4:D4"/>
    <mergeCell ref="C5:D5"/>
    <mergeCell ref="C6:D6"/>
    <mergeCell ref="B7:F7"/>
    <mergeCell ref="C8:D8"/>
    <mergeCell ref="C9:D9"/>
    <mergeCell ref="C10:D10"/>
    <mergeCell ref="C11:D11"/>
    <mergeCell ref="C12:D12"/>
    <mergeCell ref="C13:D13"/>
    <mergeCell ref="C14:D14"/>
    <mergeCell ref="C15:D15"/>
    <mergeCell ref="C16:D16"/>
    <mergeCell ref="B17:D17"/>
    <mergeCell ref="C19:D19"/>
    <mergeCell ref="C20:D20"/>
    <mergeCell ref="C21:D21"/>
    <mergeCell ref="C22:D22"/>
    <mergeCell ref="C23:D23"/>
    <mergeCell ref="C24:D24"/>
    <mergeCell ref="C25:D25"/>
    <mergeCell ref="C28:D28"/>
    <mergeCell ref="C29:D29"/>
    <mergeCell ref="C31:D31"/>
    <mergeCell ref="C32:D32"/>
    <mergeCell ref="C33:D33"/>
    <mergeCell ref="C34:D34"/>
    <mergeCell ref="B37:F37"/>
  </mergeCells>
  <dataValidations count="2">
    <dataValidation allowBlank="true" error="O percentual do Aviso Prévio Indenizado deverá ser inferior a 0,64%, conforme determinou o Tribunal de Contas da União por meio do Acórdão nº 1.904/2007 - Plenário." errorTitle="Erro na inserção de dados." operator="between" showDropDown="false" showErrorMessage="true" showInputMessage="true" sqref="E20" type="decimal">
      <formula1>0</formula1>
      <formula2>0.46</formula2>
    </dataValidation>
    <dataValidation allowBlank="true" error="O percentual do Aviso Prévio Indenizado deverá ser inferior a 1,94%, conforme determinou o Tribunal de Contas da União por meio do Acórdão nº 1.904/2007 - Plenário." errorTitle="Erro na inserção de dados." operator="between" showDropDown="false" showErrorMessage="true" showInputMessage="true" sqref="E23" type="decimal">
      <formula1>0</formula1>
      <formula2>1.94</formula2>
    </dataValidation>
  </dataValidations>
  <printOptions headings="false" gridLines="false" gridLinesSet="true" horizontalCentered="false" verticalCentered="false"/>
  <pageMargins left="0.179861111111111" right="0.170138888888889" top="0.140277777777778" bottom="0.0402777777777778" header="0.511805555555555" footer="0.511805555555555"/>
  <pageSetup paperSize="9" scale="83"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B1:F10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1025" min="7" style="1" width="9.13"/>
  </cols>
  <sheetData>
    <row r="1" customFormat="false" ht="20.25" hidden="false" customHeight="false" outlineLevel="0" collapsed="false">
      <c r="B1" s="114" t="str">
        <f aca="false">RAMO</f>
        <v>RAMO: MINISTÉRIO PÚBLICO FEDERAL</v>
      </c>
      <c r="C1" s="114"/>
      <c r="D1" s="114"/>
      <c r="E1" s="114"/>
      <c r="F1" s="114"/>
    </row>
    <row r="2" customFormat="false" ht="20.25" hidden="false" customHeight="tru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true" outlineLevel="0" collapsed="false">
      <c r="B3" s="6" t="s">
        <v>238</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242</v>
      </c>
      <c r="D12" s="123"/>
      <c r="E12" s="123"/>
      <c r="F12" s="24" t="n">
        <f aca="false">IF(QTDE_DE_ENC=0,"",QTDE_DE_ENC)</f>
        <v>1</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CATEGORIA_PROFISSIONAL_ENC</f>
        <v>Encarregado de Limpeza</v>
      </c>
      <c r="E16" s="24"/>
      <c r="F16" s="24"/>
    </row>
    <row r="17" s="3" customFormat="true" ht="15" hidden="false" customHeight="true" outlineLevel="0" collapsed="false">
      <c r="B17" s="17" t="n">
        <v>4</v>
      </c>
      <c r="C17" s="128" t="s">
        <v>45</v>
      </c>
      <c r="D17" s="128"/>
      <c r="E17" s="128"/>
      <c r="F17" s="129"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SALARIO_NORMATIVO_ENC</f>
        <v>1032</v>
      </c>
    </row>
    <row r="22" customFormat="false" ht="16.5" hidden="false" customHeight="true" outlineLevel="0" collapsed="false">
      <c r="B22" s="19" t="s">
        <v>17</v>
      </c>
      <c r="C22" s="23" t="s">
        <v>246</v>
      </c>
      <c r="D22" s="23"/>
      <c r="E22" s="23"/>
      <c r="F22" s="133" t="n">
        <f aca="false">IF(ADIC_INSALUB_ENC="SIM",PERC_ADIC_INSALUB%*SAL_MINIMO,0)</f>
        <v>0</v>
      </c>
    </row>
    <row r="23" customFormat="false" ht="16.5" hidden="false" customHeight="false" outlineLevel="0" collapsed="false">
      <c r="B23" s="19" t="s">
        <v>19</v>
      </c>
      <c r="C23" s="65" t="str">
        <f aca="false">OUTROS_REMUNERACAO_1_DESCRICAO</f>
        <v>Gratificação de função (Apenas para encarregada)</v>
      </c>
      <c r="D23" s="65"/>
      <c r="E23" s="65"/>
      <c r="F23" s="132" t="n">
        <f aca="false">OUTROS_REMUNERACAO_1</f>
        <v>158.12</v>
      </c>
    </row>
    <row r="24" customFormat="false" ht="16.5" hidden="false" customHeight="false" outlineLevel="0" collapsed="false">
      <c r="B24" s="19" t="s">
        <v>22</v>
      </c>
      <c r="C24" s="48" t="str">
        <f aca="false">OUTROS_REMUNERACAO_2_DESCRICAO</f>
        <v>Outras Remunerações 2 (Especificar)</v>
      </c>
      <c r="D24" s="48"/>
      <c r="E24" s="48"/>
      <c r="F24" s="133" t="n">
        <f aca="false">OUTROS_REMUNERACAO_2</f>
        <v>0</v>
      </c>
    </row>
    <row r="25" customFormat="false" ht="16.5" hidden="false" customHeight="false" outlineLevel="0" collapsed="false">
      <c r="B25" s="19" t="s">
        <v>25</v>
      </c>
      <c r="C25" s="65" t="str">
        <f aca="false">OUTROS_REMUNERACAO_3_DESCRICAO</f>
        <v>Outras Remunerações 3 (Especificar)</v>
      </c>
      <c r="D25" s="65"/>
      <c r="E25" s="65"/>
      <c r="F25" s="132" t="n">
        <f aca="false">OUTROS_REMUNERACAO_3</f>
        <v>0</v>
      </c>
    </row>
    <row r="26" customFormat="false" ht="16.5" hidden="false" customHeight="true" outlineLevel="0" collapsed="false">
      <c r="B26" s="46" t="s">
        <v>215</v>
      </c>
      <c r="C26" s="46"/>
      <c r="D26" s="46"/>
      <c r="E26" s="46"/>
      <c r="F26" s="134" t="n">
        <f aca="false">SUM(F21:F25)</f>
        <v>1190.12</v>
      </c>
    </row>
    <row r="27" customFormat="false" ht="16.5" hidden="false" customHeight="false" outlineLevel="0" collapsed="false">
      <c r="B27" s="44" t="s">
        <v>55</v>
      </c>
      <c r="E27" s="53"/>
      <c r="F27" s="53"/>
    </row>
    <row r="28" customFormat="false" ht="16.5" hidden="false" customHeight="false" outlineLevel="0" collapsed="false">
      <c r="B28" s="44" t="s">
        <v>196</v>
      </c>
      <c r="C28" s="59"/>
      <c r="D28" s="60"/>
      <c r="E28" s="61"/>
      <c r="F28" s="61"/>
    </row>
    <row r="29" customFormat="false" ht="16.5" hidden="false" customHeight="false" outlineLevel="0" collapsed="false">
      <c r="B29" s="19" t="s">
        <v>197</v>
      </c>
      <c r="C29" s="64" t="s">
        <v>198</v>
      </c>
      <c r="D29" s="64"/>
      <c r="E29" s="47" t="s">
        <v>86</v>
      </c>
      <c r="F29" s="47" t="s">
        <v>98</v>
      </c>
    </row>
    <row r="30" customFormat="false" ht="16.5" hidden="false" customHeight="true" outlineLevel="0" collapsed="false">
      <c r="B30" s="19" t="s">
        <v>14</v>
      </c>
      <c r="C30" s="71" t="s">
        <v>200</v>
      </c>
      <c r="D30" s="71"/>
      <c r="E30" s="104" t="n">
        <f aca="false">PERC_DEC_TERC</f>
        <v>8.33333333333333</v>
      </c>
      <c r="F30" s="100" t="n">
        <f aca="false">PERC_DEC_TERC%*MOD_1_REMUNERACAO_ENC</f>
        <v>99.1766666666666</v>
      </c>
    </row>
    <row r="31" s="105" customFormat="true" ht="16.5" hidden="false" customHeight="true" outlineLevel="0" collapsed="false">
      <c r="B31" s="47" t="s">
        <v>17</v>
      </c>
      <c r="C31" s="23" t="s">
        <v>202</v>
      </c>
      <c r="D31" s="23"/>
      <c r="E31" s="106" t="n">
        <f aca="false">PERC_ADIC_FERIAS</f>
        <v>2.77777777777778</v>
      </c>
      <c r="F31" s="102" t="n">
        <f aca="false">PERC_ADIC_FERIAS%*MOD_1_REMUNERACAO_ENC</f>
        <v>33.0588888888889</v>
      </c>
    </row>
    <row r="32" s="52" customFormat="true" ht="16.5" hidden="false" customHeight="false" outlineLevel="0" collapsed="false">
      <c r="B32" s="64" t="s">
        <v>215</v>
      </c>
      <c r="C32" s="64"/>
      <c r="D32" s="64"/>
      <c r="E32" s="64"/>
      <c r="F32" s="135" t="n">
        <f aca="false">IF(QTDE_DE_ENC=0,0,SUM(F30:F31))</f>
        <v>132.235555555556</v>
      </c>
    </row>
    <row r="33" s="52" customFormat="true" ht="31.5" hidden="false" customHeight="true" outlineLevel="0" collapsed="false">
      <c r="B33" s="136" t="s">
        <v>204</v>
      </c>
      <c r="C33" s="136"/>
      <c r="D33" s="136"/>
      <c r="E33" s="136"/>
      <c r="F33" s="136"/>
    </row>
    <row r="34" s="52" customFormat="true" ht="34.5" hidden="false" customHeight="true" outlineLevel="0" collapsed="false">
      <c r="B34" s="19" t="s">
        <v>205</v>
      </c>
      <c r="C34" s="108" t="s">
        <v>206</v>
      </c>
      <c r="D34" s="108"/>
      <c r="E34" s="47" t="s">
        <v>86</v>
      </c>
      <c r="F34" s="47" t="s">
        <v>98</v>
      </c>
    </row>
    <row r="35" customFormat="false" ht="16.5" hidden="false" customHeight="true" outlineLevel="0" collapsed="false">
      <c r="B35" s="19" t="s">
        <v>14</v>
      </c>
      <c r="C35" s="71" t="s">
        <v>207</v>
      </c>
      <c r="D35" s="71"/>
      <c r="E35" s="104" t="n">
        <f aca="false">PERC_INSS</f>
        <v>20</v>
      </c>
      <c r="F35" s="100" t="n">
        <f aca="false">PERC_INSS%*(MOD_1_REMUNERACAO_ENC+SUBMOD_2_1_DEC_TERC_ADIC_FERIAS_ENC)</f>
        <v>264.471111111111</v>
      </c>
    </row>
    <row r="36" s="3" customFormat="true" ht="16.5" hidden="false" customHeight="true" outlineLevel="0" collapsed="false">
      <c r="B36" s="47" t="s">
        <v>17</v>
      </c>
      <c r="C36" s="23" t="s">
        <v>208</v>
      </c>
      <c r="D36" s="23"/>
      <c r="E36" s="109" t="n">
        <f aca="false">PERC_SAL_EDUCACAO</f>
        <v>2.5</v>
      </c>
      <c r="F36" s="102" t="n">
        <f aca="false">PERC_SAL_EDUCACAO%*(MOD_1_REMUNERACAO_ENC+SUBMOD_2_1_DEC_TERC_ADIC_FERIAS_ENC)</f>
        <v>33.0588888888889</v>
      </c>
    </row>
    <row r="37" s="3" customFormat="true" ht="16.5" hidden="false" customHeight="true" outlineLevel="0" collapsed="false">
      <c r="B37" s="47" t="s">
        <v>19</v>
      </c>
      <c r="C37" s="71" t="s">
        <v>209</v>
      </c>
      <c r="D37" s="71"/>
      <c r="E37" s="104" t="n">
        <f aca="false">PERC_RAT</f>
        <v>3</v>
      </c>
      <c r="F37" s="100" t="n">
        <f aca="false">PERC_RAT%*(MOD_1_REMUNERACAO_ENC+SUBMOD_2_1_DEC_TERC_ADIC_FERIAS_ENC)</f>
        <v>39.6706666666667</v>
      </c>
    </row>
    <row r="38" s="3" customFormat="true" ht="16.5" hidden="false" customHeight="true" outlineLevel="0" collapsed="false">
      <c r="B38" s="47" t="s">
        <v>22</v>
      </c>
      <c r="C38" s="23" t="s">
        <v>210</v>
      </c>
      <c r="D38" s="23"/>
      <c r="E38" s="106" t="n">
        <f aca="false">PERC_SESC</f>
        <v>1.5</v>
      </c>
      <c r="F38" s="102" t="n">
        <f aca="false">PERC_SESC%*(MOD_1_REMUNERACAO_ENC+SUBMOD_2_1_DEC_TERC_ADIC_FERIAS_ENC)</f>
        <v>19.8353333333333</v>
      </c>
    </row>
    <row r="39" s="3" customFormat="true" ht="16.5" hidden="false" customHeight="true" outlineLevel="0" collapsed="false">
      <c r="B39" s="47" t="s">
        <v>25</v>
      </c>
      <c r="C39" s="71" t="s">
        <v>211</v>
      </c>
      <c r="D39" s="71"/>
      <c r="E39" s="104" t="n">
        <f aca="false">PERC_SENAC</f>
        <v>1</v>
      </c>
      <c r="F39" s="100" t="n">
        <f aca="false">PERC_SENAC%*(MOD_1_REMUNERACAO_ENC+SUBMOD_2_1_DEC_TERC_ADIC_FERIAS_ENC)</f>
        <v>13.2235555555556</v>
      </c>
    </row>
    <row r="40" s="13" customFormat="true" ht="16.5" hidden="false" customHeight="true" outlineLevel="0" collapsed="false">
      <c r="B40" s="47" t="s">
        <v>80</v>
      </c>
      <c r="C40" s="23" t="s">
        <v>212</v>
      </c>
      <c r="D40" s="23"/>
      <c r="E40" s="109" t="n">
        <f aca="false">PERC_SEBRAE</f>
        <v>0.6</v>
      </c>
      <c r="F40" s="102" t="n">
        <f aca="false">PERC_SEBRAE%*(MOD_1_REMUNERACAO_ENC+SUBMOD_2_1_DEC_TERC_ADIC_FERIAS_ENC)</f>
        <v>7.93413333333333</v>
      </c>
    </row>
    <row r="41" s="13" customFormat="true" ht="16.5" hidden="false" customHeight="true" outlineLevel="0" collapsed="false">
      <c r="B41" s="47" t="s">
        <v>170</v>
      </c>
      <c r="C41" s="71" t="s">
        <v>213</v>
      </c>
      <c r="D41" s="71"/>
      <c r="E41" s="104" t="n">
        <f aca="false">PERC_INCRA</f>
        <v>0.2</v>
      </c>
      <c r="F41" s="100" t="n">
        <f aca="false">PERC_INCRA%*(MOD_1_REMUNERACAO_ENC+SUBMOD_2_1_DEC_TERC_ADIC_FERIAS_ENC)</f>
        <v>2.64471111111111</v>
      </c>
    </row>
    <row r="42" customFormat="false" ht="16.5" hidden="false" customHeight="true" outlineLevel="0" collapsed="false">
      <c r="B42" s="47" t="s">
        <v>172</v>
      </c>
      <c r="C42" s="23" t="s">
        <v>214</v>
      </c>
      <c r="D42" s="23"/>
      <c r="E42" s="109" t="n">
        <f aca="false">PERC_FGTS</f>
        <v>8</v>
      </c>
      <c r="F42" s="102" t="n">
        <f aca="false">PERC_FGTS%*(MOD_1_REMUNERACAO_ENC+SUBMOD_2_1_DEC_TERC_ADIC_FERIAS_ENC)</f>
        <v>105.788444444444</v>
      </c>
    </row>
    <row r="43" customFormat="false" ht="16.5" hidden="false" customHeight="false" outlineLevel="0" collapsed="false">
      <c r="B43" s="64" t="s">
        <v>215</v>
      </c>
      <c r="C43" s="64"/>
      <c r="D43" s="64"/>
      <c r="E43" s="64"/>
      <c r="F43" s="137" t="n">
        <f aca="false">IF(QTDE_DE_ENC=0,0,SUM(F35:F42))</f>
        <v>486.626844444444</v>
      </c>
    </row>
    <row r="44" customFormat="false" ht="15.75" hidden="false" customHeight="true" outlineLevel="0" collapsed="false">
      <c r="B44" s="44" t="s">
        <v>56</v>
      </c>
      <c r="C44" s="13"/>
      <c r="D44" s="13"/>
      <c r="E44" s="13"/>
      <c r="F44" s="13"/>
    </row>
    <row r="45" customFormat="false" ht="15.75" hidden="false" customHeight="true" outlineLevel="0" collapsed="false">
      <c r="B45" s="19" t="s">
        <v>57</v>
      </c>
      <c r="C45" s="46" t="s">
        <v>58</v>
      </c>
      <c r="D45" s="46"/>
      <c r="E45" s="46"/>
      <c r="F45" s="47" t="s">
        <v>98</v>
      </c>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IF(DIAS_TRABALHADOS_NO_MES=15,(TRANSPORTE_POR_DIA*DIAS_TRABALHADOS_NO_MES)-(PERC_DESC_TRANSP_REMUNERACAO%*(AL_1_A_SAL_BASE_ENC/2)),IF(DIAS_TRABALHADOS_NO_MES=22,('INSERÇÃO-DE-DADOS_MÃO DE OBRA'!F41*DIAS_TRABALHADOS_NO_MES)-(PERC_DESC_TRANSP_REMUNERACAO%*(AL_1_A_SAL_BASE_ENC))))</f>
        <v>111.88</v>
      </c>
    </row>
    <row r="47" s="52" customFormat="true" ht="16.5" hidden="false" customHeight="true" outlineLevel="0" collapsed="false">
      <c r="B47" s="17" t="s">
        <v>17</v>
      </c>
      <c r="C47" s="23" t="s">
        <v>75</v>
      </c>
      <c r="D47" s="23"/>
      <c r="E47" s="23"/>
      <c r="F47" s="102" t="n">
        <f aca="false">ALIMENTACAO_POR_DIA*DIAS_TRABALHADOS_NO_MES</f>
        <v>220</v>
      </c>
    </row>
    <row r="48" s="52" customFormat="true" ht="16.5" hidden="false" customHeight="false" outlineLevel="0" collapsed="false">
      <c r="B48" s="17" t="s">
        <v>19</v>
      </c>
      <c r="C48" s="65" t="str">
        <f aca="false">OUTROS_BENEFICIOS_1_DESCRICAO</f>
        <v>Seguro de vida em grupo</v>
      </c>
      <c r="D48" s="65"/>
      <c r="E48" s="65"/>
      <c r="F48" s="100" t="n">
        <f aca="false">OUTROS_BENEFICIOS_1</f>
        <v>6</v>
      </c>
    </row>
    <row r="49" s="52" customFormat="true" ht="16.5" hidden="false" customHeight="false" outlineLevel="0" collapsed="false">
      <c r="B49" s="17" t="s">
        <v>22</v>
      </c>
      <c r="C49" s="48" t="str">
        <f aca="false">OUTROS_BENEFICIOS_2_DESCRICAO</f>
        <v>Assistência social familiar</v>
      </c>
      <c r="D49" s="48"/>
      <c r="E49" s="48"/>
      <c r="F49" s="102" t="n">
        <f aca="false">OUTROS_BENEFICIOS_2</f>
        <v>9.7</v>
      </c>
    </row>
    <row r="50" s="52" customFormat="true" ht="16.5" hidden="false" customHeight="false" outlineLevel="0" collapsed="false">
      <c r="B50" s="17" t="s">
        <v>25</v>
      </c>
      <c r="C50" s="65" t="str">
        <f aca="false">OUTROS_BENEFICIOS_3_DESCRICAO</f>
        <v>Assistência e inclusão social</v>
      </c>
      <c r="D50" s="65"/>
      <c r="E50" s="65"/>
      <c r="F50" s="100" t="n">
        <f aca="false">OUTROS_BENEFICIOS_3</f>
        <v>4</v>
      </c>
    </row>
    <row r="51" s="52" customFormat="true" ht="15" hidden="false" customHeight="true" outlineLevel="0" collapsed="false">
      <c r="B51" s="46" t="s">
        <v>215</v>
      </c>
      <c r="C51" s="46"/>
      <c r="D51" s="46"/>
      <c r="E51" s="46"/>
      <c r="F51" s="134" t="n">
        <f aca="false">IF(QTDE_DE_ENC=0,0,SUM(F46:F50))</f>
        <v>351.58</v>
      </c>
    </row>
    <row r="52" s="52" customFormat="true" ht="16.5" hidden="false" customHeight="false" outlineLevel="0" collapsed="false">
      <c r="B52" s="44" t="s">
        <v>176</v>
      </c>
      <c r="C52" s="59"/>
      <c r="D52" s="60"/>
      <c r="E52" s="61"/>
      <c r="F52" s="61"/>
    </row>
    <row r="53" s="52" customFormat="true" ht="15" hidden="false" customHeight="true" outlineLevel="0" collapsed="false">
      <c r="B53" s="19" t="n">
        <v>3</v>
      </c>
      <c r="C53" s="64" t="s">
        <v>177</v>
      </c>
      <c r="D53" s="64"/>
      <c r="E53" s="47" t="s">
        <v>86</v>
      </c>
      <c r="F53" s="47" t="s">
        <v>98</v>
      </c>
    </row>
    <row r="54" s="52" customFormat="true" ht="16.5" hidden="false" customHeight="false" outlineLevel="0" collapsed="false">
      <c r="B54" s="19" t="s">
        <v>14</v>
      </c>
      <c r="C54" s="111" t="s">
        <v>216</v>
      </c>
      <c r="D54" s="111"/>
      <c r="E54" s="104" t="n">
        <f aca="false">PERC_AVISO_PREVIO_IND</f>
        <v>0.26011</v>
      </c>
      <c r="F54" s="100" t="n">
        <f aca="false">PERC_AVISO_PREVIO_IND%*(MOD_1_REMUNERACAO_ENC+SUBMOD_2_1_DEC_TERC_ADIC_FERIAS_ENC+AL_2_2_FGTS_ENC+SUBMOD_2_3_BENEFICIOS_ENC)</f>
        <v>4.6292400964</v>
      </c>
    </row>
    <row r="55" s="52" customFormat="true" ht="16.5" hidden="false" customHeight="false" outlineLevel="0" collapsed="false">
      <c r="B55" s="47" t="s">
        <v>17</v>
      </c>
      <c r="C55" s="112" t="s">
        <v>218</v>
      </c>
      <c r="D55" s="112"/>
      <c r="E55" s="109" t="n">
        <f aca="false">PERC_FGTS_AVISO_PREV_IND</f>
        <v>0.0208088</v>
      </c>
      <c r="F55" s="102" t="n">
        <f aca="false">PERC_FGTS_AVISO_PREV_IND%*(MOD_1_REMUNERACAO_ENC+SUBMOD_2_1_DEC_TERC_ADIC_FERIAS_ENC)</f>
        <v>0.275166322844444</v>
      </c>
    </row>
    <row r="56" s="3" customFormat="true" ht="34.5" hidden="false" customHeight="true" outlineLevel="0" collapsed="false">
      <c r="B56" s="47" t="s">
        <v>19</v>
      </c>
      <c r="C56" s="111" t="s">
        <v>220</v>
      </c>
      <c r="D56" s="111"/>
      <c r="E56" s="104" t="n">
        <f aca="false">PERC_MULTA_FGTS_AV_PREV_IND</f>
        <v>0.0104044</v>
      </c>
      <c r="F56" s="100" t="n">
        <f aca="false">PERC_MULTA_FGTS_AV_PREV_IND%*(MOD_1_REMUNERACAO_ENC+SUBMOD_2_1_DEC_TERC_ADIC_FERIAS_ENC)</f>
        <v>0.137583161422222</v>
      </c>
    </row>
    <row r="57" s="52" customFormat="true" ht="16.5" hidden="false" customHeight="false" outlineLevel="0" collapsed="false">
      <c r="B57" s="47" t="s">
        <v>22</v>
      </c>
      <c r="C57" s="112" t="s">
        <v>222</v>
      </c>
      <c r="D57" s="112"/>
      <c r="E57" s="109" t="n">
        <f aca="false">PERC_AVISO_PREVIO_TRAB</f>
        <v>1.03286322222222</v>
      </c>
      <c r="F57" s="102" t="n">
        <f aca="false">PERC_AVISO_PREVIO_TRAB%*(MOD_1_REMUNERACAO_ENC+SUBMOD_2_1_DEC_TERC_ADIC_FERIAS_ENC+SUBMOD_2_2_GPS_FGTS_ENC+SUBMOD_2_3_BENEFICIOS_ENC)</f>
        <v>22.3156544227617</v>
      </c>
    </row>
    <row r="58" s="3" customFormat="true" ht="35.25" hidden="false" customHeight="true" outlineLevel="0" collapsed="false">
      <c r="B58" s="47" t="s">
        <v>25</v>
      </c>
      <c r="C58" s="111" t="s">
        <v>224</v>
      </c>
      <c r="D58" s="111"/>
      <c r="E58" s="104" t="n">
        <f aca="false">PERC_GPS_FGTS_AVISO_PREVIO_TRAB</f>
        <v>0.380093665777778</v>
      </c>
      <c r="F58" s="100" t="n">
        <f aca="false">PERC_GPS_FGTS_AVISO_PREVIO_TRAB%*(MOD_1_REMUNERACAO_ENC+SUBMOD_2_1_DEC_TERC_ADIC_FERIAS_ENC)</f>
        <v>5.02618970572721</v>
      </c>
    </row>
    <row r="59" s="3" customFormat="true" ht="32.25" hidden="false" customHeight="true" outlineLevel="0" collapsed="false">
      <c r="B59" s="47" t="s">
        <v>80</v>
      </c>
      <c r="C59" s="112" t="s">
        <v>226</v>
      </c>
      <c r="D59" s="112"/>
      <c r="E59" s="109" t="n">
        <f aca="false">PERC_MULTA_FGTS_AV_PREV_TRAB</f>
        <v>0.05</v>
      </c>
      <c r="F59" s="102" t="n">
        <f aca="false">PERC_MULTA_FGTS_AV_PREV_TRAB%*(MOD_1_REMUNERACAO_ENC+SUBMOD_2_1_DEC_TERC_ADIC_FERIAS_ENC)</f>
        <v>0.661177777777778</v>
      </c>
    </row>
    <row r="60" s="3" customFormat="true" ht="16.5" hidden="false" customHeight="false" outlineLevel="0" collapsed="false">
      <c r="B60" s="64" t="s">
        <v>215</v>
      </c>
      <c r="C60" s="64"/>
      <c r="D60" s="64"/>
      <c r="E60" s="64"/>
      <c r="F60" s="135" t="n">
        <f aca="false">IF(QTDE_DE_ENC=0,0,SUM(F54:F59))</f>
        <v>33.0450114869334</v>
      </c>
    </row>
    <row r="61" s="3" customFormat="true" ht="15.95" hidden="false" customHeight="true" outlineLevel="0" collapsed="false">
      <c r="B61" s="44" t="s">
        <v>82</v>
      </c>
      <c r="C61" s="59"/>
      <c r="D61" s="60"/>
      <c r="E61" s="1"/>
      <c r="F61" s="1"/>
    </row>
    <row r="62" s="3" customFormat="true" ht="15.95" hidden="false" customHeight="true" outlineLevel="0" collapsed="false">
      <c r="B62" s="44" t="s">
        <v>83</v>
      </c>
      <c r="C62" s="59"/>
      <c r="D62" s="60"/>
      <c r="E62" s="61"/>
      <c r="F62" s="61"/>
    </row>
    <row r="63" s="3" customFormat="true" ht="16.5" hidden="false" customHeight="true" outlineLevel="0" collapsed="false">
      <c r="B63" s="19" t="s">
        <v>84</v>
      </c>
      <c r="C63" s="46" t="s">
        <v>85</v>
      </c>
      <c r="D63" s="46"/>
      <c r="E63" s="47" t="s">
        <v>86</v>
      </c>
      <c r="F63" s="47" t="s">
        <v>98</v>
      </c>
    </row>
    <row r="64" s="3" customFormat="true" ht="15.95" hidden="false" customHeight="true" outlineLevel="0" collapsed="false">
      <c r="B64" s="47" t="s">
        <v>14</v>
      </c>
      <c r="C64" s="71" t="s">
        <v>228</v>
      </c>
      <c r="D64" s="71"/>
      <c r="E64" s="104" t="n">
        <f aca="false">PERC_SUBSTITUTO_FERIAS</f>
        <v>8.33333333333333</v>
      </c>
      <c r="F64" s="100" t="n">
        <f aca="false">PERC_SUBSTITUTO_FERIAS%*(MOD_1_REMUNERACAO_ENC+MOD_2_ENCARGOS_BENEFICIOS_ENC+MOD_3_PROVISAO_RESCISAO_ENC)</f>
        <v>182.800617623911</v>
      </c>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PERC_SUBSTITUTO_AUSENCIAS_LEGAIS%*(MOD_1_REMUNERACAO_ENC+MOD_2_ENCARGOS_BENEFICIOS_ENC+MOD_3_PROVISAO_RESCISAO_ENC)</f>
        <v>48.7468313663762</v>
      </c>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PERC_SUBSTITUTO_LICENCA_PATERNIDADE%*(MOD_1_REMUNERACAO_ENC+MOD_2_ENCARGOS_BENEFICIOS_ENC+MOD_3_PROVISAO_RESCISAO_ENC)</f>
        <v>0.782537758607574</v>
      </c>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PERC_SUBSTITUTO_ACID_TRAB%*(MOD_1_REMUNERACAO_ENC+MOD_2_ENCARGOS_BENEFICIOS_ENC+MOD_3_PROVISAO_RESCISAO_ENC)</f>
        <v>0.406480343716695</v>
      </c>
    </row>
    <row r="68" s="3" customFormat="true" ht="16.5" hidden="false" customHeight="true" outlineLevel="0" collapsed="false">
      <c r="B68" s="47" t="s">
        <v>25</v>
      </c>
      <c r="C68" s="71" t="s">
        <v>236</v>
      </c>
      <c r="D68" s="71"/>
      <c r="E68" s="104" t="n">
        <f aca="false">PERC_SUBSTITUTO_AFAST_MATERN</f>
        <v>0.143129184</v>
      </c>
      <c r="F68" s="100" t="n">
        <f aca="false">PERC_SUBSTITUTO_AFAST_MATERN%*(MOD_1_REMUNERACAO_ENC+MOD_2_ENCARGOS_BENEFICIOS_ENC+MOD_3_PROVISAO_RESCISAO_ENC)</f>
        <v>3.13969238822477</v>
      </c>
    </row>
    <row r="69" s="3" customFormat="true" ht="16.5" hidden="false" customHeight="fals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PERC_SUBSTITUTO_OUTRAS_AUSENCIAS%*(MOD_1_REMUNERACAO_ENC+MOD_2_ENCARGOS_BENEFICIOS_ENC+MOD_3_PROVISAO_RESCISAO_ENC)</f>
        <v>0</v>
      </c>
    </row>
    <row r="70" s="3" customFormat="true" ht="16.5" hidden="false" customHeight="false" outlineLevel="0" collapsed="false">
      <c r="B70" s="64" t="s">
        <v>215</v>
      </c>
      <c r="C70" s="64"/>
      <c r="D70" s="64"/>
      <c r="E70" s="64"/>
      <c r="F70" s="135" t="n">
        <f aca="false">IF(QTDE_DE_ENC=0,0,SUM(F64:F69))</f>
        <v>235.876159480836</v>
      </c>
    </row>
    <row r="71" s="3" customFormat="true" ht="15" hidden="false" customHeight="true" outlineLevel="0" collapsed="false">
      <c r="B71" s="44" t="s">
        <v>88</v>
      </c>
      <c r="C71" s="59"/>
      <c r="D71" s="60"/>
      <c r="E71" s="61"/>
      <c r="F71" s="61"/>
    </row>
    <row r="72" s="3" customFormat="true" ht="16.5" hidden="false" customHeight="false" outlineLevel="0" collapsed="false">
      <c r="B72" s="19" t="s">
        <v>89</v>
      </c>
      <c r="C72" s="64" t="s">
        <v>90</v>
      </c>
      <c r="D72" s="64"/>
      <c r="E72" s="64"/>
      <c r="F72" s="47" t="s">
        <v>98</v>
      </c>
    </row>
    <row r="73" s="3" customFormat="true" ht="16.5" hidden="false" customHeight="true" outlineLevel="0" collapsed="false">
      <c r="B73" s="19" t="s">
        <v>14</v>
      </c>
      <c r="C73" s="71" t="s">
        <v>247</v>
      </c>
      <c r="D73" s="71"/>
      <c r="E73" s="71"/>
      <c r="F73" s="132" t="n">
        <f aca="false">IF(DIAS_TRABALHADOS_NO_MES=15,((MOD_1_REMUNERACAO_ENC+MOD_2_ENCARGOS_BENEFICIOS_ENC+MOD_3_PROVISAO_RESCISAO_ENC)/DIVISOR_DE_HORAS)*((TEMPO_INTERVALO_REFEICAO/HORA_NORMAL)+PERC_HORA_EXTRA%)*DIAS_TRABALHADOS_NO_MES,0)</f>
        <v>0</v>
      </c>
    </row>
    <row r="74" s="3" customFormat="true" ht="16.5" hidden="false" customHeight="false" outlineLevel="0" collapsed="false">
      <c r="B74" s="64" t="s">
        <v>215</v>
      </c>
      <c r="C74" s="64"/>
      <c r="D74" s="64"/>
      <c r="E74" s="64"/>
      <c r="F74" s="135" t="n">
        <f aca="false">IF(QTDE_DE_ENC=0,0,SUM(F73))</f>
        <v>0</v>
      </c>
    </row>
    <row r="75" customFormat="false" ht="16.5" hidden="false" customHeight="false" outlineLevel="0" collapsed="false">
      <c r="B75" s="44" t="s">
        <v>95</v>
      </c>
      <c r="C75" s="59"/>
      <c r="D75" s="59"/>
      <c r="E75" s="61"/>
      <c r="F75" s="61"/>
    </row>
    <row r="76" customFormat="false" ht="15.75" hidden="false" customHeight="true" outlineLevel="0" collapsed="false">
      <c r="B76" s="66" t="n">
        <v>5</v>
      </c>
      <c r="C76" s="140" t="s">
        <v>97</v>
      </c>
      <c r="D76" s="140"/>
      <c r="E76" s="140"/>
      <c r="F76" s="141" t="s">
        <v>98</v>
      </c>
    </row>
    <row r="77" customFormat="false" ht="16.5" hidden="false" customHeight="true" outlineLevel="0" collapsed="false">
      <c r="B77" s="142" t="s">
        <v>14</v>
      </c>
      <c r="C77" s="143" t="s">
        <v>248</v>
      </c>
      <c r="D77" s="143"/>
      <c r="E77" s="143"/>
      <c r="F77" s="144" t="n">
        <f aca="false">UNIFORMES!I14</f>
        <v>33.2241666666667</v>
      </c>
    </row>
    <row r="78" customFormat="false" ht="16.5" hidden="false" customHeight="true" outlineLevel="0" collapsed="false">
      <c r="B78" s="142" t="s">
        <v>17</v>
      </c>
      <c r="C78" s="145" t="s">
        <v>249</v>
      </c>
      <c r="D78" s="145"/>
      <c r="E78" s="145"/>
      <c r="F78" s="146"/>
    </row>
    <row r="79" customFormat="false" ht="16.5" hidden="false" customHeight="true" outlineLevel="0" collapsed="false">
      <c r="B79" s="142" t="s">
        <v>19</v>
      </c>
      <c r="C79" s="143" t="s">
        <v>250</v>
      </c>
      <c r="D79" s="143"/>
      <c r="E79" s="143"/>
      <c r="F79" s="144"/>
    </row>
    <row r="80" customFormat="false" ht="16.4" hidden="false" customHeight="true" outlineLevel="0" collapsed="false">
      <c r="B80" s="142" t="s">
        <v>22</v>
      </c>
      <c r="C80" s="147" t="s">
        <v>251</v>
      </c>
      <c r="D80" s="147"/>
      <c r="E80" s="147"/>
      <c r="F80" s="146"/>
    </row>
    <row r="81" customFormat="false" ht="16.5" hidden="false" customHeight="true" outlineLevel="0" collapsed="false">
      <c r="B81" s="140" t="s">
        <v>215</v>
      </c>
      <c r="C81" s="140"/>
      <c r="D81" s="140"/>
      <c r="E81" s="140"/>
      <c r="F81" s="148" t="n">
        <f aca="false">IF(QTDE_DE_ENC=0,0,SUM(F77:F80))</f>
        <v>33.2241666666667</v>
      </c>
    </row>
    <row r="82" customFormat="false" ht="15" hidden="false" customHeight="true" outlineLevel="0" collapsed="false">
      <c r="B82" s="69" t="s">
        <v>99</v>
      </c>
      <c r="C82" s="69"/>
      <c r="D82" s="69"/>
      <c r="E82" s="69"/>
      <c r="F82" s="69"/>
    </row>
    <row r="83" customFormat="false" ht="16.4" hidden="false" customHeight="false" outlineLevel="0" collapsed="false">
      <c r="B83" s="19" t="n">
        <v>6</v>
      </c>
      <c r="C83" s="64" t="s">
        <v>252</v>
      </c>
      <c r="D83" s="64"/>
      <c r="E83" s="47" t="s">
        <v>86</v>
      </c>
      <c r="F83" s="47" t="s">
        <v>98</v>
      </c>
    </row>
    <row r="84" customFormat="false" ht="16.5" hidden="false" customHeight="true" outlineLevel="0" collapsed="false">
      <c r="B84" s="19" t="s">
        <v>14</v>
      </c>
      <c r="C84" s="71" t="s">
        <v>107</v>
      </c>
      <c r="D84" s="71"/>
      <c r="E84" s="149" t="n">
        <f aca="false">'INSERÇÃO-DE-DADOS_MÃO DE OBRA'!D68</f>
        <v>4.73</v>
      </c>
      <c r="F84" s="100" t="n">
        <f aca="false">E84%*(MOD_1_REMUNERACAO_ENC+MOD_2_ENCARGOS_BENEFICIOS_ENC+MOD_3_PROVISAO_RESCISAO_ENC+MOD_4_CUSTO_REPOSICAO_ENC+MOD_5_INSUMOS_ENC)</f>
        <v>116.486075990109</v>
      </c>
    </row>
    <row r="85" customFormat="false" ht="15.75" hidden="false" customHeight="true" outlineLevel="0" collapsed="false">
      <c r="B85" s="47" t="s">
        <v>17</v>
      </c>
      <c r="C85" s="23" t="s">
        <v>108</v>
      </c>
      <c r="D85" s="23"/>
      <c r="E85" s="150" t="n">
        <f aca="false">'INSERÇÃO-DE-DADOS_MÃO DE OBRA'!D69</f>
        <v>5.57</v>
      </c>
      <c r="F85" s="102" t="n">
        <f aca="false">E85%*(MOD_1_REMUNERACAO_ENC+MOD_2_ENCARGOS_BENEFICIOS_ENC+MOD_3_PROVISAO_RESCISAO_ENC+MOD_4_CUSTO_REPOSICAO_ENC+MOD_5_INSUMOS_ENC+AL_6_A_CUSTOS_INDIRETOS_ENC)</f>
        <v>143.661095418887</v>
      </c>
    </row>
    <row r="86" customFormat="false" ht="16.5" hidden="false" customHeight="true" outlineLevel="0" collapsed="false">
      <c r="B86" s="47" t="s">
        <v>19</v>
      </c>
      <c r="C86" s="71" t="s">
        <v>253</v>
      </c>
      <c r="D86" s="71"/>
      <c r="E86" s="149" t="n">
        <f aca="false">SUM(E87:E89)</f>
        <v>8.65</v>
      </c>
      <c r="F86" s="100" t="n">
        <f aca="false">SUM(F87:F89)</f>
        <v>257.829173105919</v>
      </c>
    </row>
    <row r="87" customFormat="false" ht="15.75" hidden="false" customHeight="true" outlineLevel="0" collapsed="false">
      <c r="B87" s="73" t="s">
        <v>109</v>
      </c>
      <c r="C87" s="151" t="s">
        <v>110</v>
      </c>
      <c r="D87" s="151"/>
      <c r="E87" s="152" t="n">
        <f aca="false">'INSERÇÃO-DE-DADOS_MÃO DE OBRA'!D70</f>
        <v>0.65</v>
      </c>
      <c r="F87" s="153" t="n">
        <f aca="false">((MOD_1_REMUNERACAO_ENC+MOD_2_ENCARGOS_BENEFICIOS_ENC+MOD_3_PROVISAO_RESCISAO_ENC+MOD_4_CUSTO_REPOSICAO_ENC+MOD_5_INSUMOS_ENC+AL_6_A_CUSTOS_INDIRETOS_ENC+AL_6_B_LUCRO_ENC)*E87%)/(1-PERC_TRIBUTOS%)</f>
        <v>19.3744465339708</v>
      </c>
    </row>
    <row r="88" customFormat="false" ht="16.5" hidden="false" customHeight="true" outlineLevel="0" collapsed="false">
      <c r="B88" s="73" t="s">
        <v>111</v>
      </c>
      <c r="C88" s="154" t="s">
        <v>112</v>
      </c>
      <c r="D88" s="154"/>
      <c r="E88" s="155" t="n">
        <f aca="false">'INSERÇÃO-DE-DADOS_MÃO DE OBRA'!D71</f>
        <v>3</v>
      </c>
      <c r="F88" s="156" t="n">
        <f aca="false">((MOD_1_REMUNERACAO_ENC+MOD_2_ENCARGOS_BENEFICIOS_ENC+MOD_3_PROVISAO_RESCISAO_ENC+MOD_4_CUSTO_REPOSICAO_ENC+MOD_5_INSUMOS_ENC+AL_6_A_CUSTOS_INDIRETOS_ENC+AL_6_B_LUCRO_ENC)*E88%)/(1-PERC_TRIBUTOS%)</f>
        <v>89.4205224644805</v>
      </c>
    </row>
    <row r="89" s="67" customFormat="true" ht="16.5" hidden="false" customHeight="true" outlineLevel="0" collapsed="false">
      <c r="B89" s="73" t="s">
        <v>113</v>
      </c>
      <c r="C89" s="151" t="s">
        <v>114</v>
      </c>
      <c r="D89" s="151"/>
      <c r="E89" s="152" t="n">
        <f aca="false">'INSERÇÃO-DE-DADOS_MÃO DE OBRA'!D72</f>
        <v>5</v>
      </c>
      <c r="F89" s="153" t="n">
        <f aca="false">((MOD_1_REMUNERACAO_ENC+MOD_2_ENCARGOS_BENEFICIOS_ENC+MOD_3_PROVISAO_RESCISAO_ENC+MOD_4_CUSTO_REPOSICAO_ENC+MOD_5_INSUMOS_ENC+AL_6_A_CUSTOS_INDIRETOS_ENC+AL_6_B_LUCRO_ENC)*E89%)/(1-PERC_TRIBUTOS%)</f>
        <v>149.034204107468</v>
      </c>
    </row>
    <row r="90" s="67" customFormat="true" ht="16.4" hidden="false" customHeight="false" outlineLevel="0" collapsed="false">
      <c r="B90" s="64" t="s">
        <v>215</v>
      </c>
      <c r="C90" s="64"/>
      <c r="D90" s="64"/>
      <c r="E90" s="64"/>
      <c r="F90" s="157" t="n">
        <f aca="false">IF(QTDE_DE_ENC=0,0,AL_6_A_CUSTOS_INDIRETOS_ENC+AL_6_B_LUCRO_ENC+AL_6_C_TRIBUTOS_ENC)</f>
        <v>517.976344514915</v>
      </c>
    </row>
    <row r="91" s="67" customFormat="true" ht="17.35" hidden="false" customHeight="false" outlineLevel="0" collapsed="false">
      <c r="B91" s="158" t="s">
        <v>254</v>
      </c>
      <c r="C91" s="159"/>
      <c r="D91" s="159"/>
      <c r="E91" s="159"/>
      <c r="F91" s="160"/>
    </row>
    <row r="92" s="70" customFormat="true" ht="16.5" hidden="false" customHeight="true" outlineLevel="0" collapsed="false">
      <c r="B92" s="47" t="s">
        <v>255</v>
      </c>
      <c r="C92" s="46" t="s">
        <v>256</v>
      </c>
      <c r="D92" s="46"/>
      <c r="E92" s="46"/>
      <c r="F92" s="47" t="s">
        <v>257</v>
      </c>
    </row>
    <row r="93" s="67" customFormat="true" ht="16.5" hidden="false" customHeight="true" outlineLevel="0" collapsed="false">
      <c r="B93" s="19" t="n">
        <v>1</v>
      </c>
      <c r="C93" s="71" t="s">
        <v>49</v>
      </c>
      <c r="D93" s="71"/>
      <c r="E93" s="71"/>
      <c r="F93" s="100" t="n">
        <f aca="false">MOD_1_REMUNERACAO_ENC</f>
        <v>1190.12</v>
      </c>
    </row>
    <row r="94" s="68" customFormat="true" ht="16.5" hidden="false" customHeight="true" outlineLevel="0" collapsed="false">
      <c r="B94" s="47" t="n">
        <v>2</v>
      </c>
      <c r="C94" s="23" t="s">
        <v>258</v>
      </c>
      <c r="D94" s="23"/>
      <c r="E94" s="23"/>
      <c r="F94" s="102" t="n">
        <f aca="false">MOD_2_ENCARGOS_BENEFICIOS_ENC</f>
        <v>970.4424</v>
      </c>
    </row>
    <row r="95" s="68" customFormat="true" ht="16.5" hidden="false" customHeight="true" outlineLevel="0" collapsed="false">
      <c r="B95" s="47" t="n">
        <v>3</v>
      </c>
      <c r="C95" s="71" t="s">
        <v>177</v>
      </c>
      <c r="D95" s="71"/>
      <c r="E95" s="71"/>
      <c r="F95" s="100" t="n">
        <f aca="false">MOD_3_PROVISAO_RESCISAO_ENC</f>
        <v>33.0450114869334</v>
      </c>
    </row>
    <row r="96" s="68" customFormat="true" ht="16.5" hidden="false" customHeight="true" outlineLevel="0" collapsed="false">
      <c r="B96" s="47" t="n">
        <v>4</v>
      </c>
      <c r="C96" s="23" t="s">
        <v>259</v>
      </c>
      <c r="D96" s="23"/>
      <c r="E96" s="23"/>
      <c r="F96" s="102" t="n">
        <f aca="false">MOD_4_CUSTO_REPOSICAO_ENC</f>
        <v>235.876159480836</v>
      </c>
    </row>
    <row r="97" s="68" customFormat="true" ht="16.5" hidden="false" customHeight="true" outlineLevel="0" collapsed="false">
      <c r="B97" s="47" t="n">
        <v>5</v>
      </c>
      <c r="C97" s="71" t="s">
        <v>97</v>
      </c>
      <c r="D97" s="71"/>
      <c r="E97" s="71"/>
      <c r="F97" s="100" t="n">
        <f aca="false">MOD_5_INSUMOS_ENC</f>
        <v>33.2241666666667</v>
      </c>
    </row>
    <row r="98" s="68" customFormat="true" ht="16.5" hidden="false" customHeight="true" outlineLevel="0" collapsed="false">
      <c r="B98" s="47" t="n">
        <v>6</v>
      </c>
      <c r="C98" s="23" t="s">
        <v>252</v>
      </c>
      <c r="D98" s="23"/>
      <c r="E98" s="23"/>
      <c r="F98" s="102" t="n">
        <f aca="false">MOD_6_CUSTOS_IND_LUCRO_TRIB_ENC</f>
        <v>517.976344514915</v>
      </c>
    </row>
    <row r="99" customFormat="false" ht="16.5" hidden="false" customHeight="true" outlineLevel="0" collapsed="false">
      <c r="B99" s="46" t="s">
        <v>260</v>
      </c>
      <c r="C99" s="46"/>
      <c r="D99" s="46"/>
      <c r="E99" s="46"/>
      <c r="F99" s="157" t="n">
        <f aca="false">IF(QTDE_DE_ENC=0,0,SUM(F93:F98))</f>
        <v>2980.68408214935</v>
      </c>
    </row>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B1:N153"/>
  <sheetViews>
    <sheetView showFormulas="false" showGridLines="true" showRowColHeaders="true" showZeros="true" rightToLeft="false" tabSelected="false" showOutlineSymbols="true" defaultGridColor="true" view="normal" topLeftCell="A1" colorId="64" zoomScale="113" zoomScaleNormal="113"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61" width="18.85"/>
    <col collapsed="false" customWidth="true" hidden="false" outlineLevel="0" max="9" min="9" style="161" width="14.86"/>
    <col collapsed="false" customWidth="true" hidden="false" outlineLevel="0" max="10" min="10" style="161" width="12.71"/>
    <col collapsed="false" customWidth="true" hidden="false" outlineLevel="0" max="11" min="11" style="161" width="14.01"/>
    <col collapsed="false" customWidth="true" hidden="false" outlineLevel="0" max="12" min="12" style="162" width="13.7"/>
    <col collapsed="false" customWidth="true" hidden="false" outlineLevel="0" max="13" min="13" style="162" width="9.42"/>
    <col collapsed="false" customWidth="true" hidden="false" outlineLevel="0" max="14" min="14" style="162" width="12.86"/>
    <col collapsed="false" customWidth="true" hidden="false" outlineLevel="0" max="1025" min="15" style="1" width="9.13"/>
  </cols>
  <sheetData>
    <row r="1" s="1" customFormat="true" ht="20.25" hidden="false" customHeight="fals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false" outlineLevel="0" collapsed="false">
      <c r="B3" s="6" t="s">
        <v>261</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262</v>
      </c>
      <c r="D12" s="123"/>
      <c r="E12" s="123"/>
      <c r="F12" s="24" t="n">
        <f aca="false">IF(QTDE_DE_SERV=0,"",QTDE_DE_SERV)</f>
        <v>6</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CATEGORIA_PROFISSIONAL_SERV</f>
        <v>Servente Campo Grande</v>
      </c>
      <c r="E16" s="24"/>
      <c r="F16" s="24"/>
    </row>
    <row r="17" s="3" customFormat="true" ht="15" hidden="false" customHeight="true" outlineLevel="0" collapsed="false">
      <c r="B17" s="17" t="n">
        <v>4</v>
      </c>
      <c r="C17" s="10" t="s">
        <v>45</v>
      </c>
      <c r="D17" s="10"/>
      <c r="E17" s="10"/>
      <c r="F17" s="163"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SALARIO_NORMATIVO_SERV</f>
        <v>1032</v>
      </c>
    </row>
    <row r="22" s="1" customFormat="true" ht="16.5" hidden="false" customHeight="true" outlineLevel="0" collapsed="false">
      <c r="B22" s="19" t="s">
        <v>17</v>
      </c>
      <c r="C22" s="23" t="s">
        <v>246</v>
      </c>
      <c r="D22" s="23"/>
      <c r="E22" s="23"/>
      <c r="F22" s="133" t="n">
        <f aca="false">IF(ADIC_INSALUB_SERV="SIM",PERC_ADIC_INSALUB%*SAL_MINIMO,0)</f>
        <v>0</v>
      </c>
    </row>
    <row r="23" customFormat="false" ht="16.4" hidden="false" customHeight="false" outlineLevel="0" collapsed="false">
      <c r="B23" s="19" t="s">
        <v>19</v>
      </c>
      <c r="C23" s="65" t="str">
        <f aca="false">OUTROS_REMUNERACAO_1_DESCRICAO</f>
        <v>Gratificação de função (Apenas para encarregada)</v>
      </c>
      <c r="D23" s="65"/>
      <c r="E23" s="65"/>
      <c r="F23" s="132" t="n">
        <f aca="false">OUTROS_REMUNERACAO_1-'INSERÇÃO-DE-DADOS_MÃO DE OBRA'!F33</f>
        <v>0</v>
      </c>
    </row>
    <row r="24" customFormat="false" ht="15.75" hidden="false" customHeight="true" outlineLevel="0" collapsed="false">
      <c r="B24" s="19" t="s">
        <v>22</v>
      </c>
      <c r="C24" s="48" t="str">
        <f aca="false">OUTROS_REMUNERACAO_2_DESCRICAO</f>
        <v>Outras Remunerações 2 (Especificar)</v>
      </c>
      <c r="D24" s="48"/>
      <c r="E24" s="48"/>
      <c r="F24" s="133" t="n">
        <f aca="false">OUTROS_REMUNERACAO_2</f>
        <v>0</v>
      </c>
    </row>
    <row r="25" customFormat="false" ht="15.75" hidden="false" customHeight="true" outlineLevel="0" collapsed="false">
      <c r="B25" s="19" t="s">
        <v>25</v>
      </c>
      <c r="C25" s="65" t="str">
        <f aca="false">OUTROS_REMUNERACAO_3_DESCRICAO</f>
        <v>Outras Remunerações 3 (Especificar)</v>
      </c>
      <c r="D25" s="65"/>
      <c r="E25" s="65"/>
      <c r="F25" s="132" t="n">
        <f aca="false">OUTROS_REMUNERACAO_3</f>
        <v>0</v>
      </c>
    </row>
    <row r="26" customFormat="false" ht="15.75" hidden="false" customHeight="true" outlineLevel="0" collapsed="false">
      <c r="B26" s="46" t="s">
        <v>215</v>
      </c>
      <c r="C26" s="46"/>
      <c r="D26" s="46"/>
      <c r="E26" s="46"/>
      <c r="F26" s="134" t="n">
        <f aca="false">SUM(F21:F25)</f>
        <v>1032</v>
      </c>
      <c r="L26" s="161"/>
      <c r="M26" s="161"/>
    </row>
    <row r="27" customFormat="false" ht="16.5" hidden="false" customHeight="false" outlineLevel="0" collapsed="false">
      <c r="B27" s="44" t="s">
        <v>55</v>
      </c>
      <c r="E27" s="53"/>
      <c r="F27" s="53"/>
      <c r="L27" s="161"/>
      <c r="M27" s="161"/>
    </row>
    <row r="28" customFormat="false" ht="16.5" hidden="false" customHeight="false" outlineLevel="0" collapsed="false">
      <c r="B28" s="44" t="s">
        <v>196</v>
      </c>
      <c r="C28" s="59"/>
      <c r="D28" s="60"/>
      <c r="E28" s="61"/>
      <c r="F28" s="61"/>
      <c r="L28" s="161"/>
      <c r="M28" s="161"/>
      <c r="N28" s="164"/>
    </row>
    <row r="29" customFormat="false" ht="16.5" hidden="false" customHeight="false" outlineLevel="0" collapsed="false">
      <c r="B29" s="19" t="s">
        <v>197</v>
      </c>
      <c r="C29" s="64" t="s">
        <v>198</v>
      </c>
      <c r="D29" s="64"/>
      <c r="E29" s="47" t="s">
        <v>86</v>
      </c>
      <c r="F29" s="47" t="s">
        <v>98</v>
      </c>
      <c r="L29" s="161"/>
      <c r="M29" s="161"/>
      <c r="N29" s="164"/>
    </row>
    <row r="30" customFormat="false" ht="16.5" hidden="false" customHeight="true" outlineLevel="0" collapsed="false">
      <c r="B30" s="19" t="s">
        <v>14</v>
      </c>
      <c r="C30" s="71" t="s">
        <v>200</v>
      </c>
      <c r="D30" s="71"/>
      <c r="E30" s="104" t="n">
        <f aca="false">PERC_DEC_TERC</f>
        <v>8.33333333333333</v>
      </c>
      <c r="F30" s="100" t="n">
        <f aca="false">PERC_DEC_TERC%*MOD_1_REMUNERACAO_SERV</f>
        <v>86</v>
      </c>
      <c r="L30" s="161"/>
      <c r="M30" s="161"/>
      <c r="N30" s="164"/>
    </row>
    <row r="31" customFormat="false" ht="16.5" hidden="false" customHeight="true" outlineLevel="0" collapsed="false">
      <c r="B31" s="47" t="s">
        <v>17</v>
      </c>
      <c r="C31" s="23" t="s">
        <v>202</v>
      </c>
      <c r="D31" s="23"/>
      <c r="E31" s="106" t="n">
        <f aca="false">PERC_ADIC_FERIAS</f>
        <v>2.77777777777778</v>
      </c>
      <c r="F31" s="102" t="n">
        <f aca="false">PERC_ADIC_FERIAS%*MOD_1_REMUNERACAO_SERV</f>
        <v>28.6666666666667</v>
      </c>
      <c r="L31" s="161"/>
      <c r="M31" s="161"/>
      <c r="N31" s="164"/>
    </row>
    <row r="32" customFormat="false" ht="16.5" hidden="false" customHeight="false" outlineLevel="0" collapsed="false">
      <c r="B32" s="64" t="s">
        <v>215</v>
      </c>
      <c r="C32" s="64"/>
      <c r="D32" s="64"/>
      <c r="E32" s="64"/>
      <c r="F32" s="135" t="n">
        <f aca="false">SUM(F30:F31)</f>
        <v>114.666666666667</v>
      </c>
      <c r="L32" s="161"/>
      <c r="M32" s="161"/>
    </row>
    <row r="33" customFormat="false" ht="16.5" hidden="false" customHeight="true" outlineLevel="0" collapsed="false">
      <c r="B33" s="136" t="s">
        <v>204</v>
      </c>
      <c r="C33" s="136"/>
      <c r="D33" s="136"/>
      <c r="E33" s="136"/>
      <c r="F33" s="136"/>
      <c r="L33" s="161"/>
      <c r="M33" s="161"/>
    </row>
    <row r="34" customFormat="false" ht="16.5" hidden="false" customHeight="true" outlineLevel="0" collapsed="false">
      <c r="B34" s="19" t="s">
        <v>205</v>
      </c>
      <c r="C34" s="108" t="s">
        <v>206</v>
      </c>
      <c r="D34" s="108"/>
      <c r="E34" s="47" t="s">
        <v>86</v>
      </c>
      <c r="F34" s="47" t="s">
        <v>98</v>
      </c>
      <c r="L34" s="161"/>
      <c r="M34" s="161"/>
    </row>
    <row r="35" s="105" customFormat="true" ht="16.5" hidden="false" customHeight="true" outlineLevel="0" collapsed="false">
      <c r="B35" s="19" t="s">
        <v>14</v>
      </c>
      <c r="C35" s="71" t="s">
        <v>207</v>
      </c>
      <c r="D35" s="71"/>
      <c r="E35" s="104" t="n">
        <f aca="false">PERC_INSS</f>
        <v>20</v>
      </c>
      <c r="F35" s="100" t="n">
        <f aca="false">PERC_INSS%*(MOD_1_REMUNERACAO_SERV+SUBMOD_2_1_DEC_TERC_ADIC_FERIAS_SERV)</f>
        <v>229.333333333333</v>
      </c>
      <c r="H35" s="161"/>
      <c r="I35" s="161"/>
      <c r="J35" s="161"/>
      <c r="K35" s="161"/>
      <c r="L35" s="161"/>
      <c r="M35" s="161"/>
      <c r="N35" s="162"/>
    </row>
    <row r="36" s="52" customFormat="true" ht="16.5" hidden="false" customHeight="true" outlineLevel="0" collapsed="false">
      <c r="B36" s="47" t="s">
        <v>17</v>
      </c>
      <c r="C36" s="23" t="s">
        <v>208</v>
      </c>
      <c r="D36" s="23"/>
      <c r="E36" s="109" t="n">
        <f aca="false">PERC_SAL_EDUCACAO</f>
        <v>2.5</v>
      </c>
      <c r="F36" s="102" t="n">
        <f aca="false">PERC_SAL_EDUCACAO%*(MOD_1_REMUNERACAO_SERV+SUBMOD_2_1_DEC_TERC_ADIC_FERIAS_SERV)</f>
        <v>28.6666666666667</v>
      </c>
      <c r="H36" s="161"/>
      <c r="I36" s="161"/>
      <c r="J36" s="161"/>
      <c r="K36" s="161"/>
      <c r="L36" s="161"/>
      <c r="M36" s="161"/>
      <c r="N36" s="162"/>
    </row>
    <row r="37" s="52" customFormat="true" ht="16.5" hidden="false" customHeight="true" outlineLevel="0" collapsed="false">
      <c r="B37" s="47" t="s">
        <v>19</v>
      </c>
      <c r="C37" s="71" t="s">
        <v>209</v>
      </c>
      <c r="D37" s="71"/>
      <c r="E37" s="104" t="n">
        <f aca="false">PERC_RAT</f>
        <v>3</v>
      </c>
      <c r="F37" s="100" t="n">
        <f aca="false">PERC_RAT%*(MOD_1_REMUNERACAO_SERV+SUBMOD_2_1_DEC_TERC_ADIC_FERIAS_SERV)</f>
        <v>34.4</v>
      </c>
      <c r="H37" s="161"/>
      <c r="I37" s="161"/>
      <c r="J37" s="161"/>
      <c r="K37" s="161"/>
      <c r="L37" s="161"/>
      <c r="M37" s="161"/>
      <c r="N37" s="162"/>
    </row>
    <row r="38" s="52" customFormat="true" ht="16.5" hidden="false" customHeight="true" outlineLevel="0" collapsed="false">
      <c r="B38" s="47" t="s">
        <v>22</v>
      </c>
      <c r="C38" s="23" t="s">
        <v>210</v>
      </c>
      <c r="D38" s="23"/>
      <c r="E38" s="106" t="n">
        <f aca="false">PERC_SESC</f>
        <v>1.5</v>
      </c>
      <c r="F38" s="102" t="n">
        <f aca="false">PERC_SESC%*(MOD_1_REMUNERACAO_SERV+SUBMOD_2_1_DEC_TERC_ADIC_FERIAS_SERV)</f>
        <v>17.2</v>
      </c>
      <c r="H38" s="161"/>
      <c r="I38" s="161"/>
      <c r="J38" s="161"/>
      <c r="K38" s="161"/>
      <c r="L38" s="161"/>
      <c r="M38" s="161"/>
      <c r="N38" s="162"/>
    </row>
    <row r="39" customFormat="false" ht="16.5" hidden="false" customHeight="true" outlineLevel="0" collapsed="false">
      <c r="B39" s="47" t="s">
        <v>25</v>
      </c>
      <c r="C39" s="71" t="s">
        <v>211</v>
      </c>
      <c r="D39" s="71"/>
      <c r="E39" s="104" t="n">
        <f aca="false">PERC_SENAC</f>
        <v>1</v>
      </c>
      <c r="F39" s="100" t="n">
        <f aca="false">PERC_SENAC%*(MOD_1_REMUNERACAO_SERV+SUBMOD_2_1_DEC_TERC_ADIC_FERIAS_SERV)</f>
        <v>11.4666666666667</v>
      </c>
      <c r="L39" s="161"/>
      <c r="M39" s="161"/>
    </row>
    <row r="40" s="3" customFormat="true" ht="16.5" hidden="false" customHeight="true" outlineLevel="0" collapsed="false">
      <c r="B40" s="47" t="s">
        <v>80</v>
      </c>
      <c r="C40" s="23" t="s">
        <v>212</v>
      </c>
      <c r="D40" s="23"/>
      <c r="E40" s="109" t="n">
        <f aca="false">PERC_SEBRAE</f>
        <v>0.6</v>
      </c>
      <c r="F40" s="102" t="n">
        <f aca="false">PERC_SEBRAE%*(MOD_1_REMUNERACAO_SERV+SUBMOD_2_1_DEC_TERC_ADIC_FERIAS_SERV)</f>
        <v>6.88</v>
      </c>
      <c r="H40" s="162"/>
      <c r="I40" s="162"/>
      <c r="J40" s="162"/>
      <c r="K40" s="162"/>
      <c r="L40" s="162"/>
      <c r="M40" s="162"/>
      <c r="N40" s="162"/>
    </row>
    <row r="41" s="3" customFormat="true" ht="16.5" hidden="false" customHeight="true" outlineLevel="0" collapsed="false">
      <c r="B41" s="47" t="s">
        <v>170</v>
      </c>
      <c r="C41" s="71" t="s">
        <v>213</v>
      </c>
      <c r="D41" s="71"/>
      <c r="E41" s="104" t="n">
        <f aca="false">PERC_INCRA</f>
        <v>0.2</v>
      </c>
      <c r="F41" s="100" t="n">
        <f aca="false">PERC_INCRA%*(MOD_1_REMUNERACAO_SERV+SUBMOD_2_1_DEC_TERC_ADIC_FERIAS_SERV)</f>
        <v>2.29333333333333</v>
      </c>
      <c r="H41" s="162"/>
      <c r="I41" s="162"/>
      <c r="J41" s="162"/>
      <c r="K41" s="162"/>
      <c r="L41" s="162"/>
      <c r="M41" s="162"/>
      <c r="N41" s="162"/>
    </row>
    <row r="42" s="3" customFormat="true" ht="16.5" hidden="false" customHeight="true" outlineLevel="0" collapsed="false">
      <c r="B42" s="47" t="s">
        <v>172</v>
      </c>
      <c r="C42" s="23" t="s">
        <v>214</v>
      </c>
      <c r="D42" s="23"/>
      <c r="E42" s="109" t="n">
        <f aca="false">PERC_FGTS</f>
        <v>8</v>
      </c>
      <c r="F42" s="102" t="n">
        <f aca="false">PERC_FGTS%*(MOD_1_REMUNERACAO_SERV+SUBMOD_2_1_DEC_TERC_ADIC_FERIAS_SERV)</f>
        <v>91.7333333333333</v>
      </c>
      <c r="H42" s="162"/>
      <c r="I42" s="162"/>
      <c r="J42" s="162"/>
      <c r="K42" s="162"/>
      <c r="L42" s="162"/>
      <c r="M42" s="162"/>
      <c r="N42" s="162"/>
    </row>
    <row r="43" s="3" customFormat="true" ht="16.5" hidden="false" customHeight="false" outlineLevel="0" collapsed="false">
      <c r="B43" s="64" t="s">
        <v>215</v>
      </c>
      <c r="C43" s="64"/>
      <c r="D43" s="64"/>
      <c r="E43" s="64"/>
      <c r="F43" s="137" t="n">
        <f aca="false">SUM(F35:F42)</f>
        <v>421.973333333333</v>
      </c>
      <c r="H43" s="162"/>
      <c r="I43" s="162"/>
      <c r="J43" s="162"/>
      <c r="K43" s="162"/>
      <c r="L43" s="162"/>
      <c r="M43" s="162"/>
      <c r="N43" s="162"/>
    </row>
    <row r="44" s="13" customFormat="true" ht="16.5" hidden="false" customHeight="false" outlineLevel="0" collapsed="false">
      <c r="B44" s="44" t="s">
        <v>56</v>
      </c>
      <c r="H44" s="162"/>
      <c r="I44" s="162"/>
      <c r="J44" s="162"/>
      <c r="K44" s="162"/>
      <c r="L44" s="162"/>
      <c r="M44" s="162"/>
      <c r="N44" s="162"/>
    </row>
    <row r="45" s="13" customFormat="true" ht="16.5" hidden="false" customHeight="true" outlineLevel="0" collapsed="false">
      <c r="B45" s="19" t="s">
        <v>57</v>
      </c>
      <c r="C45" s="46" t="s">
        <v>58</v>
      </c>
      <c r="D45" s="46"/>
      <c r="E45" s="46"/>
      <c r="F45" s="47" t="s">
        <v>98</v>
      </c>
      <c r="H45" s="165"/>
      <c r="I45" s="165"/>
      <c r="J45" s="165"/>
      <c r="K45" s="165"/>
      <c r="L45" s="165"/>
      <c r="M45" s="165"/>
      <c r="N45" s="165"/>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IF(DIAS_TRABALHADOS_NO_MES=15,(TRANSPORTE_POR_DIA*DIAS_TRABALHADOS_NO_MES)-(PERC_DESC_TRANSP_REMUNERACAO%*(AL_1_A_SAL_BASE_SERV/2)),IF(DIAS_TRABALHADOS_NO_MES=22,('INSERÇÃO-DE-DADOS_MÃO DE OBRA'!F41*DIAS_TRABALHADOS_NO_MES)-(PERC_DESC_TRANSP_REMUNERACAO%*(AL_1_A_SAL_BASE_SERV))))</f>
        <v>111.88</v>
      </c>
      <c r="H46" s="165"/>
      <c r="I46" s="165"/>
      <c r="J46" s="165"/>
      <c r="K46" s="165"/>
      <c r="L46" s="165"/>
      <c r="M46" s="165"/>
      <c r="N46" s="165"/>
    </row>
    <row r="47" customFormat="false" ht="16.5" hidden="false" customHeight="true" outlineLevel="0" collapsed="false">
      <c r="B47" s="17" t="s">
        <v>17</v>
      </c>
      <c r="C47" s="23" t="s">
        <v>75</v>
      </c>
      <c r="D47" s="23"/>
      <c r="E47" s="23"/>
      <c r="F47" s="102" t="n">
        <f aca="false">ALIMENTACAO_POR_DIA*DIAS_TRABALHADOS_NO_MES</f>
        <v>220</v>
      </c>
      <c r="H47" s="165"/>
      <c r="I47" s="165"/>
      <c r="J47" s="165"/>
      <c r="K47" s="165"/>
      <c r="L47" s="165"/>
      <c r="M47" s="165"/>
      <c r="N47" s="165"/>
    </row>
    <row r="48" customFormat="false" ht="15.75" hidden="false" customHeight="true" outlineLevel="0" collapsed="false">
      <c r="B48" s="17" t="s">
        <v>19</v>
      </c>
      <c r="C48" s="65" t="str">
        <f aca="false">OUTROS_BENEFICIOS_1_DESCRICAO</f>
        <v>Seguro de vida em grupo</v>
      </c>
      <c r="D48" s="65"/>
      <c r="E48" s="65"/>
      <c r="F48" s="100" t="n">
        <f aca="false">OUTROS_BENEFICIOS_1</f>
        <v>6</v>
      </c>
      <c r="H48" s="165"/>
      <c r="I48" s="165"/>
      <c r="J48" s="165"/>
      <c r="K48" s="165"/>
      <c r="L48" s="165"/>
      <c r="M48" s="165"/>
      <c r="N48" s="165"/>
    </row>
    <row r="49" customFormat="false" ht="15.75" hidden="false" customHeight="true" outlineLevel="0" collapsed="false">
      <c r="B49" s="17" t="s">
        <v>22</v>
      </c>
      <c r="C49" s="48" t="str">
        <f aca="false">OUTROS_BENEFICIOS_2_DESCRICAO</f>
        <v>Assistência social familiar</v>
      </c>
      <c r="D49" s="48"/>
      <c r="E49" s="48"/>
      <c r="F49" s="102" t="n">
        <f aca="false">OUTROS_BENEFICIOS_2</f>
        <v>9.7</v>
      </c>
      <c r="L49" s="161"/>
      <c r="M49" s="161"/>
      <c r="N49" s="166"/>
    </row>
    <row r="50" customFormat="false" ht="16.5" hidden="false" customHeight="false" outlineLevel="0" collapsed="false">
      <c r="B50" s="17" t="s">
        <v>25</v>
      </c>
      <c r="C50" s="65" t="str">
        <f aca="false">OUTROS_BENEFICIOS_3_DESCRICAO</f>
        <v>Assistência e inclusão social</v>
      </c>
      <c r="D50" s="65"/>
      <c r="E50" s="65"/>
      <c r="F50" s="100" t="n">
        <f aca="false">OUTROS_BENEFICIOS_3</f>
        <v>4</v>
      </c>
      <c r="L50" s="161"/>
      <c r="M50" s="161"/>
      <c r="N50" s="166"/>
    </row>
    <row r="51" s="52" customFormat="true" ht="16.5" hidden="false" customHeight="true" outlineLevel="0" collapsed="false">
      <c r="B51" s="46" t="s">
        <v>215</v>
      </c>
      <c r="C51" s="46"/>
      <c r="D51" s="46"/>
      <c r="E51" s="46"/>
      <c r="F51" s="134" t="n">
        <f aca="false">SUM(F46:F50)</f>
        <v>351.58</v>
      </c>
      <c r="H51" s="161"/>
      <c r="I51" s="161"/>
      <c r="J51" s="161"/>
      <c r="K51" s="161"/>
      <c r="L51" s="161"/>
      <c r="M51" s="161"/>
      <c r="N51" s="166"/>
    </row>
    <row r="52" s="52" customFormat="true" ht="16.5" hidden="false" customHeight="false" outlineLevel="0" collapsed="false">
      <c r="B52" s="44" t="s">
        <v>176</v>
      </c>
      <c r="C52" s="59"/>
      <c r="D52" s="60"/>
      <c r="E52" s="61"/>
      <c r="F52" s="61"/>
      <c r="H52" s="161"/>
      <c r="I52" s="161"/>
      <c r="J52" s="161"/>
      <c r="K52" s="161"/>
      <c r="L52" s="161"/>
      <c r="M52" s="161"/>
      <c r="N52" s="162"/>
    </row>
    <row r="53" s="52" customFormat="true" ht="16.5" hidden="false" customHeight="false" outlineLevel="0" collapsed="false">
      <c r="B53" s="19" t="n">
        <v>3</v>
      </c>
      <c r="C53" s="64" t="s">
        <v>177</v>
      </c>
      <c r="D53" s="64"/>
      <c r="E53" s="47" t="s">
        <v>86</v>
      </c>
      <c r="F53" s="47" t="s">
        <v>98</v>
      </c>
      <c r="H53" s="161"/>
      <c r="I53" s="161"/>
      <c r="J53" s="161"/>
      <c r="K53" s="161"/>
      <c r="L53" s="161"/>
      <c r="M53" s="161"/>
      <c r="N53" s="162"/>
    </row>
    <row r="54" s="52" customFormat="true" ht="16.5" hidden="false" customHeight="false" outlineLevel="0" collapsed="false">
      <c r="B54" s="19" t="s">
        <v>14</v>
      </c>
      <c r="C54" s="111" t="s">
        <v>216</v>
      </c>
      <c r="D54" s="111"/>
      <c r="E54" s="104" t="n">
        <f aca="false">PERC_AVISO_PREVIO_IND</f>
        <v>0.26011</v>
      </c>
      <c r="F54" s="100" t="n">
        <f aca="false">PERC_AVISO_PREVIO_IND%*(MOD_1_REMUNERACAO_SERV+SUBMOD_2_1_DEC_TERC_ADIC_FERIAS_SERV+AL_2_2_FGTS_SERV+SUBMOD_2_3_BENEFICIOS_SERV)</f>
        <v>4.135696978</v>
      </c>
      <c r="H54" s="161"/>
      <c r="I54" s="161"/>
      <c r="J54" s="161"/>
      <c r="K54" s="161"/>
      <c r="L54" s="161"/>
      <c r="M54" s="161"/>
      <c r="N54" s="162"/>
    </row>
    <row r="55" s="52" customFormat="true" ht="15" hidden="false" customHeight="true" outlineLevel="0" collapsed="false">
      <c r="B55" s="47" t="s">
        <v>17</v>
      </c>
      <c r="C55" s="112" t="s">
        <v>218</v>
      </c>
      <c r="D55" s="112"/>
      <c r="E55" s="109" t="n">
        <f aca="false">PERC_FGTS_AVISO_PREV_IND</f>
        <v>0.0208088</v>
      </c>
      <c r="F55" s="102" t="n">
        <f aca="false">PERC_FGTS_AVISO_PREV_IND%*(MOD_1_REMUNERACAO_SERV+SUBMOD_2_1_DEC_TERC_ADIC_FERIAS_SERV)</f>
        <v>0.238607573333333</v>
      </c>
      <c r="H55" s="161"/>
      <c r="I55" s="161"/>
      <c r="J55" s="161"/>
      <c r="K55" s="161"/>
      <c r="L55" s="161"/>
      <c r="M55" s="161"/>
      <c r="N55" s="166"/>
    </row>
    <row r="56" s="52" customFormat="true" ht="31.5" hidden="false" customHeight="true" outlineLevel="0" collapsed="false">
      <c r="B56" s="47" t="s">
        <v>19</v>
      </c>
      <c r="C56" s="111" t="s">
        <v>220</v>
      </c>
      <c r="D56" s="111"/>
      <c r="E56" s="104" t="n">
        <f aca="false">PERC_MULTA_FGTS_AV_PREV_IND</f>
        <v>0.0104044</v>
      </c>
      <c r="F56" s="100" t="n">
        <f aca="false">PERC_MULTA_FGTS_AV_PREV_IND%*(MOD_1_REMUNERACAO_SERV+SUBMOD_2_1_DEC_TERC_ADIC_FERIAS_SERV)</f>
        <v>0.119303786666667</v>
      </c>
      <c r="H56" s="161"/>
      <c r="I56" s="161"/>
      <c r="J56" s="161"/>
      <c r="K56" s="161"/>
      <c r="L56" s="161"/>
      <c r="M56" s="161"/>
      <c r="N56" s="162"/>
    </row>
    <row r="57" s="52" customFormat="true" ht="15" hidden="false" customHeight="true" outlineLevel="0" collapsed="false">
      <c r="B57" s="47" t="s">
        <v>22</v>
      </c>
      <c r="C57" s="112" t="s">
        <v>222</v>
      </c>
      <c r="D57" s="112"/>
      <c r="E57" s="109" t="n">
        <f aca="false">PERC_AVISO_PREVIO_TRAB</f>
        <v>1.03286322222222</v>
      </c>
      <c r="F57" s="102" t="n">
        <f aca="false">PERC_AVISO_PREVIO_TRAB%*(MOD_1_REMUNERACAO_SERV+SUBMOD_2_1_DEC_TERC_ADIC_FERIAS_SERV+SUBMOD_2_2_GPS_FGTS_SERV+SUBMOD_2_3_BENEFICIOS_SERV)</f>
        <v>19.8332461657555</v>
      </c>
      <c r="H57" s="161"/>
      <c r="I57" s="161"/>
      <c r="J57" s="161"/>
      <c r="K57" s="161"/>
      <c r="L57" s="161"/>
      <c r="M57" s="161"/>
      <c r="N57" s="162"/>
    </row>
    <row r="58" s="52" customFormat="true" ht="33.75" hidden="false" customHeight="true" outlineLevel="0" collapsed="false">
      <c r="B58" s="47" t="s">
        <v>25</v>
      </c>
      <c r="C58" s="111" t="s">
        <v>224</v>
      </c>
      <c r="D58" s="111"/>
      <c r="E58" s="104" t="n">
        <f aca="false">PERC_GPS_FGTS_AVISO_PREVIO_TRAB</f>
        <v>0.380093665777778</v>
      </c>
      <c r="F58" s="100" t="n">
        <f aca="false">PERC_GPS_FGTS_AVISO_PREVIO_TRAB%*(MOD_1_REMUNERACAO_SERV+SUBMOD_2_1_DEC_TERC_ADIC_FERIAS_SERV)</f>
        <v>4.35840736758519</v>
      </c>
      <c r="H58" s="161"/>
      <c r="I58" s="161"/>
      <c r="J58" s="161"/>
      <c r="K58" s="161"/>
      <c r="L58" s="161"/>
      <c r="M58" s="161"/>
      <c r="N58" s="167"/>
    </row>
    <row r="59" s="52" customFormat="true" ht="32.25" hidden="false" customHeight="true" outlineLevel="0" collapsed="false">
      <c r="B59" s="47" t="s">
        <v>80</v>
      </c>
      <c r="C59" s="112" t="s">
        <v>226</v>
      </c>
      <c r="D59" s="112"/>
      <c r="E59" s="109" t="n">
        <f aca="false">PERC_MULTA_FGTS_AV_PREV_TRAB</f>
        <v>0.05</v>
      </c>
      <c r="F59" s="102" t="n">
        <f aca="false">PERC_MULTA_FGTS_AV_PREV_TRAB%*(MOD_1_REMUNERACAO_SERV+SUBMOD_2_1_DEC_TERC_ADIC_FERIAS_SERV)</f>
        <v>0.573333333333333</v>
      </c>
      <c r="H59" s="161"/>
      <c r="I59" s="161"/>
      <c r="J59" s="161"/>
      <c r="K59" s="161"/>
      <c r="L59" s="161"/>
      <c r="M59" s="161"/>
      <c r="N59" s="162"/>
    </row>
    <row r="60" s="3" customFormat="true" ht="16.5" hidden="false" customHeight="false" outlineLevel="0" collapsed="false">
      <c r="B60" s="64" t="s">
        <v>215</v>
      </c>
      <c r="C60" s="64"/>
      <c r="D60" s="64"/>
      <c r="E60" s="64"/>
      <c r="F60" s="135" t="n">
        <f aca="false">SUM(F54:F59)</f>
        <v>29.258595204674</v>
      </c>
      <c r="H60" s="161"/>
      <c r="I60" s="161"/>
      <c r="J60" s="161"/>
      <c r="K60" s="161"/>
      <c r="L60" s="161"/>
      <c r="M60" s="161"/>
      <c r="N60" s="162"/>
    </row>
    <row r="61" s="3" customFormat="true" ht="16.5" hidden="false" customHeight="false" outlineLevel="0" collapsed="false">
      <c r="B61" s="44" t="s">
        <v>82</v>
      </c>
      <c r="C61" s="59"/>
      <c r="D61" s="60"/>
      <c r="E61" s="1"/>
      <c r="F61" s="1"/>
      <c r="H61" s="161"/>
      <c r="I61" s="161"/>
      <c r="J61" s="161"/>
      <c r="K61" s="161"/>
      <c r="L61" s="161"/>
      <c r="M61" s="161"/>
      <c r="N61" s="162"/>
    </row>
    <row r="62" s="3" customFormat="true" ht="16.5" hidden="false" customHeight="false" outlineLevel="0" collapsed="false">
      <c r="B62" s="44" t="s">
        <v>83</v>
      </c>
      <c r="C62" s="59"/>
      <c r="D62" s="60"/>
      <c r="E62" s="61"/>
      <c r="F62" s="61"/>
      <c r="H62" s="168"/>
      <c r="I62" s="168"/>
      <c r="J62" s="168"/>
      <c r="K62" s="168"/>
      <c r="L62" s="161"/>
      <c r="M62" s="161"/>
      <c r="N62" s="162"/>
    </row>
    <row r="63" s="3" customFormat="true" ht="16.5" hidden="false" customHeight="true" outlineLevel="0" collapsed="false">
      <c r="B63" s="19" t="s">
        <v>84</v>
      </c>
      <c r="C63" s="46" t="s">
        <v>85</v>
      </c>
      <c r="D63" s="46"/>
      <c r="E63" s="47" t="s">
        <v>86</v>
      </c>
      <c r="F63" s="47" t="s">
        <v>98</v>
      </c>
      <c r="H63" s="168"/>
      <c r="I63" s="168"/>
      <c r="J63" s="168"/>
      <c r="K63" s="168"/>
      <c r="L63" s="161"/>
      <c r="M63" s="161"/>
      <c r="N63" s="162"/>
    </row>
    <row r="64" customFormat="false" ht="16.5" hidden="false" customHeight="true" outlineLevel="0" collapsed="false">
      <c r="B64" s="47" t="s">
        <v>14</v>
      </c>
      <c r="C64" s="71" t="s">
        <v>228</v>
      </c>
      <c r="D64" s="71"/>
      <c r="E64" s="104" t="n">
        <f aca="false">PERC_SUBSTITUTO_FERIAS</f>
        <v>8.33333333333333</v>
      </c>
      <c r="F64" s="100" t="n">
        <f aca="false">PERC_SUBSTITUTO_FERIAS%*(MOD_1_REMUNERACAO_SERV+MOD_2_ENCARGOS_BENEFICIOS_SERV+MOD_3_PROVISAO_RESCISAO_SERV)</f>
        <v>162.456549600389</v>
      </c>
      <c r="H64" s="168"/>
      <c r="I64" s="168"/>
      <c r="J64" s="168"/>
      <c r="K64" s="168"/>
      <c r="L64" s="161"/>
      <c r="M64" s="161"/>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PERC_SUBSTITUTO_AUSENCIAS_LEGAIS%*(MOD_1_REMUNERACAO_SERV+MOD_2_ENCARGOS_BENEFICIOS_SERV+MOD_3_PROVISAO_RESCISAO_SERV)</f>
        <v>43.3217465601038</v>
      </c>
      <c r="H65" s="168"/>
      <c r="I65" s="168"/>
      <c r="J65" s="168"/>
      <c r="K65" s="168"/>
      <c r="L65" s="161"/>
      <c r="M65" s="161"/>
      <c r="N65" s="162"/>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PERC_SUBSTITUTO_LICENCA_PATERNIDADE%*(MOD_1_REMUNERACAO_SERV+MOD_2_ENCARGOS_BENEFICIOS_SERV+MOD_3_PROVISAO_RESCISAO_SERV)</f>
        <v>0.695448329704002</v>
      </c>
      <c r="H66" s="168"/>
      <c r="I66" s="168"/>
      <c r="J66" s="168"/>
      <c r="K66" s="168"/>
      <c r="L66" s="161"/>
      <c r="M66" s="161"/>
      <c r="N66" s="168"/>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PERC_SUBSTITUTO_ACID_TRAB%*(MOD_1_REMUNERACAO_SERV+MOD_2_ENCARGOS_BENEFICIOS_SERV+MOD_3_PROVISAO_RESCISAO_SERV)</f>
        <v>0.361242729805509</v>
      </c>
      <c r="H67" s="168"/>
      <c r="I67" s="168"/>
      <c r="J67" s="168"/>
      <c r="K67" s="168"/>
      <c r="L67" s="161"/>
      <c r="M67" s="161"/>
      <c r="N67" s="168"/>
    </row>
    <row r="68" s="3" customFormat="true" ht="15.95" hidden="false" customHeight="true" outlineLevel="0" collapsed="false">
      <c r="B68" s="47" t="s">
        <v>25</v>
      </c>
      <c r="C68" s="71" t="s">
        <v>236</v>
      </c>
      <c r="D68" s="71"/>
      <c r="E68" s="104" t="n">
        <f aca="false">PERC_SUBSTITUTO_AFAST_MATERN</f>
        <v>0.143129184</v>
      </c>
      <c r="F68" s="100" t="n">
        <f aca="false">PERC_SUBSTITUTO_AFAST_MATERN%*(MOD_1_REMUNERACAO_SERV+MOD_2_ENCARGOS_BENEFICIOS_SERV+MOD_3_PROVISAO_RESCISAO_SERV)</f>
        <v>2.79027280557111</v>
      </c>
      <c r="H68" s="168"/>
      <c r="I68" s="168"/>
      <c r="J68" s="168"/>
      <c r="K68" s="168"/>
      <c r="L68" s="161"/>
      <c r="M68" s="161"/>
      <c r="N68" s="168"/>
    </row>
    <row r="69" s="3" customFormat="true" ht="15.95" hidden="false" customHeight="tru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PERC_SUBSTITUTO_OUTRAS_AUSENCIAS%*(MOD_1_REMUNERACAO_SERV+MOD_2_ENCARGOS_BENEFICIOS_SERV+MOD_3_PROVISAO_RESCISAO_SERV)</f>
        <v>0</v>
      </c>
      <c r="H69" s="168"/>
      <c r="I69" s="168"/>
      <c r="J69" s="168"/>
      <c r="K69" s="168"/>
      <c r="L69" s="161"/>
      <c r="M69" s="161"/>
      <c r="N69" s="168"/>
    </row>
    <row r="70" s="3" customFormat="true" ht="15.95" hidden="false" customHeight="true" outlineLevel="0" collapsed="false">
      <c r="B70" s="64" t="s">
        <v>215</v>
      </c>
      <c r="C70" s="64"/>
      <c r="D70" s="64"/>
      <c r="E70" s="64"/>
      <c r="F70" s="135" t="n">
        <f aca="false">SUM(F64:F69)</f>
        <v>209.625260025574</v>
      </c>
      <c r="H70" s="168"/>
      <c r="I70" s="168"/>
      <c r="J70" s="168"/>
      <c r="K70" s="168"/>
      <c r="L70" s="161"/>
      <c r="M70" s="161"/>
      <c r="N70" s="168"/>
    </row>
    <row r="71" s="3" customFormat="true" ht="16.5" hidden="false" customHeight="false" outlineLevel="0" collapsed="false">
      <c r="B71" s="44" t="s">
        <v>88</v>
      </c>
      <c r="C71" s="59"/>
      <c r="D71" s="60"/>
      <c r="E71" s="61"/>
      <c r="F71" s="61"/>
      <c r="H71" s="168"/>
      <c r="I71" s="168"/>
      <c r="J71" s="168"/>
      <c r="K71" s="168"/>
      <c r="L71" s="161"/>
      <c r="M71" s="161"/>
      <c r="N71" s="168"/>
    </row>
    <row r="72" s="3" customFormat="true" ht="16.5" hidden="false" customHeight="false" outlineLevel="0" collapsed="false">
      <c r="B72" s="19" t="s">
        <v>89</v>
      </c>
      <c r="C72" s="64" t="s">
        <v>90</v>
      </c>
      <c r="D72" s="64"/>
      <c r="E72" s="64"/>
      <c r="F72" s="47" t="s">
        <v>98</v>
      </c>
      <c r="H72" s="168"/>
      <c r="I72" s="168"/>
      <c r="J72" s="168"/>
      <c r="K72" s="168"/>
      <c r="L72" s="161"/>
      <c r="M72" s="161"/>
      <c r="N72" s="168"/>
    </row>
    <row r="73" s="3" customFormat="true" ht="16.5" hidden="false" customHeight="true" outlineLevel="0" collapsed="false">
      <c r="B73" s="19" t="s">
        <v>14</v>
      </c>
      <c r="C73" s="71" t="s">
        <v>247</v>
      </c>
      <c r="D73" s="71"/>
      <c r="E73" s="71"/>
      <c r="F73" s="132" t="n">
        <f aca="false">IF(DIAS_TRABALHADOS_NO_MES=15,((MOD_1_REMUNERACAO_SERV+MOD_2_ENCARGOS_BENEFICIOS_SERV+MOD_3_PROVISAO_RESCISAO_SERV)/DIVISOR_DE_HORAS)*((TEMPO_INTERVALO_REFEICAO/HORA_NORMAL)+PERC_HORA_EXTRA%)*DIAS_TRABALHADOS_NO_MES,0)</f>
        <v>0</v>
      </c>
      <c r="H73" s="168"/>
      <c r="I73" s="168"/>
      <c r="J73" s="168"/>
      <c r="K73" s="168"/>
      <c r="L73" s="161"/>
      <c r="M73" s="161"/>
      <c r="N73" s="168"/>
    </row>
    <row r="74" s="3" customFormat="true" ht="16.5" hidden="false" customHeight="false" outlineLevel="0" collapsed="false">
      <c r="B74" s="64" t="s">
        <v>215</v>
      </c>
      <c r="C74" s="64"/>
      <c r="D74" s="64"/>
      <c r="E74" s="64"/>
      <c r="F74" s="135" t="n">
        <f aca="false">SUM(F73)</f>
        <v>0</v>
      </c>
      <c r="H74" s="168"/>
      <c r="I74" s="168"/>
      <c r="J74" s="168"/>
      <c r="K74" s="168"/>
      <c r="L74" s="161"/>
      <c r="M74" s="161"/>
      <c r="N74" s="168"/>
    </row>
    <row r="75" s="3" customFormat="true" ht="16.5" hidden="false" customHeight="false" outlineLevel="0" collapsed="false">
      <c r="B75" s="44" t="s">
        <v>95</v>
      </c>
      <c r="C75" s="59"/>
      <c r="D75" s="59"/>
      <c r="E75" s="61"/>
      <c r="F75" s="61"/>
      <c r="H75" s="168"/>
      <c r="I75" s="168"/>
      <c r="J75" s="168"/>
      <c r="K75" s="168"/>
      <c r="L75" s="161"/>
      <c r="M75" s="161"/>
      <c r="N75" s="168"/>
    </row>
    <row r="76" s="3" customFormat="true" ht="16.5" hidden="false" customHeight="true" outlineLevel="0" collapsed="false">
      <c r="B76" s="66" t="n">
        <v>5</v>
      </c>
      <c r="C76" s="140" t="s">
        <v>97</v>
      </c>
      <c r="D76" s="140"/>
      <c r="E76" s="140"/>
      <c r="F76" s="141" t="s">
        <v>98</v>
      </c>
      <c r="H76" s="161"/>
      <c r="I76" s="161"/>
      <c r="J76" s="161"/>
      <c r="K76" s="161"/>
      <c r="L76" s="161"/>
      <c r="M76" s="161"/>
      <c r="N76" s="168"/>
    </row>
    <row r="77" s="3" customFormat="true" ht="16.5" hidden="false" customHeight="true" outlineLevel="0" collapsed="false">
      <c r="B77" s="142" t="s">
        <v>14</v>
      </c>
      <c r="C77" s="143" t="s">
        <v>248</v>
      </c>
      <c r="D77" s="143"/>
      <c r="E77" s="143"/>
      <c r="F77" s="144" t="n">
        <f aca="false">UNIFORMES!I14</f>
        <v>33.2241666666667</v>
      </c>
      <c r="H77" s="161"/>
      <c r="I77" s="161"/>
      <c r="J77" s="161"/>
      <c r="K77" s="161"/>
      <c r="L77" s="161"/>
      <c r="M77" s="161"/>
      <c r="N77" s="168"/>
    </row>
    <row r="78" customFormat="false" ht="16.5" hidden="false" customHeight="true" outlineLevel="0" collapsed="false">
      <c r="B78" s="142" t="s">
        <v>17</v>
      </c>
      <c r="C78" s="145" t="s">
        <v>249</v>
      </c>
      <c r="D78" s="145"/>
      <c r="E78" s="145"/>
      <c r="F78" s="146" t="n">
        <f aca="false">'MATERIAIS E EQUIPAMENTOS'!M43+'MATERIAIS E EQUIPAMENTOS'!M72</f>
        <v>458.295902777778</v>
      </c>
      <c r="L78" s="161"/>
      <c r="M78" s="161"/>
      <c r="N78" s="168"/>
    </row>
    <row r="79" customFormat="false" ht="16.5" hidden="false" customHeight="true" outlineLevel="0" collapsed="false">
      <c r="B79" s="142" t="s">
        <v>19</v>
      </c>
      <c r="C79" s="143" t="s">
        <v>250</v>
      </c>
      <c r="D79" s="143"/>
      <c r="E79" s="143"/>
      <c r="F79" s="144" t="n">
        <f aca="false">'MATERIAIS E EQUIPAMENTOS'!M94</f>
        <v>22.6162888888889</v>
      </c>
      <c r="L79" s="161"/>
      <c r="M79" s="161"/>
      <c r="N79" s="168"/>
    </row>
    <row r="80" customFormat="false" ht="15.75" hidden="false" customHeight="true" outlineLevel="0" collapsed="false">
      <c r="B80" s="142" t="s">
        <v>22</v>
      </c>
      <c r="C80" s="147" t="str">
        <f aca="false">ENCARREGADO!C80</f>
        <v>Outros Insumos</v>
      </c>
      <c r="D80" s="147"/>
      <c r="E80" s="147"/>
      <c r="F80" s="146" t="n">
        <v>0</v>
      </c>
      <c r="L80" s="161"/>
      <c r="M80" s="161"/>
      <c r="N80" s="161"/>
    </row>
    <row r="81" customFormat="false" ht="16.5" hidden="false" customHeight="true" outlineLevel="0" collapsed="false">
      <c r="B81" s="140" t="s">
        <v>215</v>
      </c>
      <c r="C81" s="140"/>
      <c r="D81" s="140"/>
      <c r="E81" s="140"/>
      <c r="F81" s="148" t="n">
        <f aca="false">SUM(F77:F80)</f>
        <v>514.136358333333</v>
      </c>
      <c r="L81" s="161"/>
      <c r="M81" s="161"/>
    </row>
    <row r="82" customFormat="false" ht="16.5" hidden="false" customHeight="true" outlineLevel="0" collapsed="false">
      <c r="B82" s="69" t="s">
        <v>99</v>
      </c>
      <c r="C82" s="69"/>
      <c r="D82" s="69"/>
      <c r="E82" s="69"/>
      <c r="F82" s="69"/>
      <c r="L82" s="161"/>
      <c r="M82" s="161"/>
    </row>
    <row r="83" customFormat="false" ht="16.4" hidden="false" customHeight="false" outlineLevel="0" collapsed="false">
      <c r="B83" s="19" t="n">
        <v>6</v>
      </c>
      <c r="C83" s="64" t="s">
        <v>252</v>
      </c>
      <c r="D83" s="64"/>
      <c r="E83" s="47" t="s">
        <v>86</v>
      </c>
      <c r="F83" s="47" t="s">
        <v>98</v>
      </c>
      <c r="L83" s="161"/>
      <c r="M83" s="161"/>
    </row>
    <row r="84" customFormat="false" ht="16.5" hidden="false" customHeight="true" outlineLevel="0" collapsed="false">
      <c r="B84" s="19" t="s">
        <v>14</v>
      </c>
      <c r="C84" s="71" t="s">
        <v>107</v>
      </c>
      <c r="D84" s="71"/>
      <c r="E84" s="149" t="n">
        <f aca="false">'INSERÇÃO-DE-DADOS_MÃO DE OBRA'!D68</f>
        <v>4.73</v>
      </c>
      <c r="F84" s="100" t="n">
        <f aca="false">E84%*(MOD_1_REMUNERACAO_SERV+MOD_2_ENCARGOS_BENEFICIOS_SERV+MOD_3_PROVISAO_RESCISAO_SERV+MOD_4_CUSTO_REPOSICAO_SERV+MOD_5_INSUMOS_SERV)</f>
        <v>126.444262101557</v>
      </c>
      <c r="L84" s="161"/>
      <c r="M84" s="161"/>
    </row>
    <row r="85" customFormat="false" ht="16.5" hidden="false" customHeight="true" outlineLevel="0" collapsed="false">
      <c r="B85" s="47" t="s">
        <v>17</v>
      </c>
      <c r="C85" s="23" t="s">
        <v>108</v>
      </c>
      <c r="D85" s="23"/>
      <c r="E85" s="150" t="n">
        <f aca="false">'INSERÇÃO-DE-DADOS_MÃO DE OBRA'!D69</f>
        <v>5.57</v>
      </c>
      <c r="F85" s="102" t="n">
        <f aca="false">E85%*(MOD_1_REMUNERACAO_SERV+MOD_2_ENCARGOS_BENEFICIOS_SERV+MOD_3_PROVISAO_RESCISAO_SERV+MOD_4_CUSTO_REPOSICAO_SERV+MOD_5_INSUMOS_SERV+AL_6_A_CUSTOS_INDIRETOS_SERV)</f>
        <v>155.942425294548</v>
      </c>
      <c r="L85" s="161"/>
      <c r="M85" s="161"/>
    </row>
    <row r="86" customFormat="false" ht="15" hidden="false" customHeight="true" outlineLevel="0" collapsed="false">
      <c r="B86" s="47" t="s">
        <v>19</v>
      </c>
      <c r="C86" s="71" t="s">
        <v>253</v>
      </c>
      <c r="D86" s="71"/>
      <c r="E86" s="149" t="n">
        <f aca="false">SUM(E87:E89)</f>
        <v>8.65</v>
      </c>
      <c r="F86" s="100" t="n">
        <f aca="false">SUM(F87:F89)</f>
        <v>279.870527567611</v>
      </c>
      <c r="L86" s="161"/>
      <c r="M86" s="161"/>
    </row>
    <row r="87" customFormat="false" ht="16.5" hidden="false" customHeight="true" outlineLevel="0" collapsed="false">
      <c r="B87" s="73" t="s">
        <v>109</v>
      </c>
      <c r="C87" s="151" t="s">
        <v>110</v>
      </c>
      <c r="D87" s="151"/>
      <c r="E87" s="152" t="n">
        <f aca="false">'INSERÇÃO-DE-DADOS_MÃO DE OBRA'!D70</f>
        <v>0.65</v>
      </c>
      <c r="F87" s="153" t="n">
        <f aca="false">((MOD_1_REMUNERACAO_SERV+MOD_2_ENCARGOS_BENEFICIOS_SERV+MOD_3_PROVISAO_RESCISAO_SERV+MOD_4_CUSTO_REPOSICAO_SERV+MOD_5_INSUMOS_SERV+AL_6_A_CUSTOS_INDIRETOS_SERV+AL_6_B_LUCRO_SERV)*E87%)/(1-PERC_TRIBUTOS%)</f>
        <v>21.0307332854274</v>
      </c>
      <c r="L87" s="161"/>
      <c r="M87" s="161"/>
    </row>
    <row r="88" customFormat="false" ht="16.5" hidden="false" customHeight="true" outlineLevel="0" collapsed="false">
      <c r="B88" s="73" t="s">
        <v>111</v>
      </c>
      <c r="C88" s="154" t="s">
        <v>112</v>
      </c>
      <c r="D88" s="154"/>
      <c r="E88" s="155" t="n">
        <f aca="false">'INSERÇÃO-DE-DADOS_MÃO DE OBRA'!D71</f>
        <v>3</v>
      </c>
      <c r="F88" s="156" t="n">
        <f aca="false">((MOD_1_REMUNERACAO_SERV+MOD_2_ENCARGOS_BENEFICIOS_SERV+MOD_3_PROVISAO_RESCISAO_SERV+MOD_4_CUSTO_REPOSICAO_SERV+MOD_5_INSUMOS_SERV+AL_6_A_CUSTOS_INDIRETOS_SERV+AL_6_B_LUCRO_SERV)*E88%)/(1-PERC_TRIBUTOS%)</f>
        <v>97.0649228558189</v>
      </c>
      <c r="L88" s="161"/>
      <c r="M88" s="161"/>
    </row>
    <row r="89" customFormat="false" ht="15.75" hidden="false" customHeight="true" outlineLevel="0" collapsed="false">
      <c r="B89" s="73" t="s">
        <v>113</v>
      </c>
      <c r="C89" s="151" t="s">
        <v>114</v>
      </c>
      <c r="D89" s="151"/>
      <c r="E89" s="152" t="n">
        <f aca="false">'INSERÇÃO-DE-DADOS_MÃO DE OBRA'!D72</f>
        <v>5</v>
      </c>
      <c r="F89" s="153" t="n">
        <f aca="false">((MOD_1_REMUNERACAO_SERV+MOD_2_ENCARGOS_BENEFICIOS_SERV+MOD_3_PROVISAO_RESCISAO_SERV+MOD_4_CUSTO_REPOSICAO_SERV+MOD_5_INSUMOS_SERV+AL_6_A_CUSTOS_INDIRETOS_SERV+AL_6_B_LUCRO_SERV)*E89%)/(1-PERC_TRIBUTOS%)</f>
        <v>161.774871426365</v>
      </c>
      <c r="L89" s="161"/>
      <c r="M89" s="161"/>
    </row>
    <row r="90" customFormat="false" ht="16.4" hidden="false" customHeight="false" outlineLevel="0" collapsed="false">
      <c r="B90" s="64" t="s">
        <v>215</v>
      </c>
      <c r="C90" s="64"/>
      <c r="D90" s="64"/>
      <c r="E90" s="64"/>
      <c r="F90" s="157" t="n">
        <f aca="false">AL_6_A_CUSTOS_INDIRETOS_SERV+AL_6_B_LUCRO_SERV+AL_6_C_TRIBUTOS_SERV</f>
        <v>562.257214963717</v>
      </c>
      <c r="L90" s="161"/>
      <c r="M90" s="161"/>
    </row>
    <row r="91" customFormat="false" ht="15.75" hidden="false" customHeight="true" outlineLevel="0" collapsed="false">
      <c r="B91" s="158" t="s">
        <v>254</v>
      </c>
      <c r="C91" s="159"/>
      <c r="D91" s="159"/>
      <c r="E91" s="159"/>
      <c r="F91" s="160"/>
      <c r="L91" s="161"/>
      <c r="M91" s="161"/>
    </row>
    <row r="92" customFormat="false" ht="16.5" hidden="false" customHeight="true" outlineLevel="0" collapsed="false">
      <c r="B92" s="47" t="s">
        <v>255</v>
      </c>
      <c r="C92" s="46" t="s">
        <v>256</v>
      </c>
      <c r="D92" s="46"/>
      <c r="E92" s="46"/>
      <c r="F92" s="47" t="s">
        <v>257</v>
      </c>
      <c r="L92" s="161"/>
      <c r="M92" s="161"/>
    </row>
    <row r="93" s="67" customFormat="true" ht="16.5" hidden="false" customHeight="true" outlineLevel="0" collapsed="false">
      <c r="B93" s="19" t="n">
        <v>1</v>
      </c>
      <c r="C93" s="71" t="s">
        <v>49</v>
      </c>
      <c r="D93" s="71"/>
      <c r="E93" s="71"/>
      <c r="F93" s="100" t="n">
        <f aca="false">MOD_1_REMUNERACAO_SERV</f>
        <v>1032</v>
      </c>
      <c r="H93" s="161"/>
      <c r="I93" s="161"/>
      <c r="J93" s="161"/>
      <c r="K93" s="161"/>
      <c r="L93" s="161"/>
      <c r="M93" s="161"/>
      <c r="N93" s="162"/>
    </row>
    <row r="94" s="67" customFormat="true" ht="16.5" hidden="false" customHeight="true" outlineLevel="0" collapsed="false">
      <c r="B94" s="47" t="n">
        <v>2</v>
      </c>
      <c r="C94" s="23" t="s">
        <v>258</v>
      </c>
      <c r="D94" s="23"/>
      <c r="E94" s="23"/>
      <c r="F94" s="102" t="n">
        <f aca="false">MOD_2_ENCARGOS_BENEFICIOS_SERV</f>
        <v>888.22</v>
      </c>
      <c r="H94" s="161"/>
      <c r="I94" s="161"/>
      <c r="J94" s="161"/>
      <c r="K94" s="161"/>
      <c r="L94" s="161"/>
      <c r="M94" s="161"/>
      <c r="N94" s="162"/>
    </row>
    <row r="95" s="67" customFormat="true" ht="16.5" hidden="false" customHeight="true" outlineLevel="0" collapsed="false">
      <c r="B95" s="47" t="n">
        <v>3</v>
      </c>
      <c r="C95" s="71" t="s">
        <v>177</v>
      </c>
      <c r="D95" s="71"/>
      <c r="E95" s="71"/>
      <c r="F95" s="100" t="n">
        <f aca="false">MOD_3_PROVISAO_RESCISAO_SERV</f>
        <v>29.258595204674</v>
      </c>
      <c r="H95" s="161"/>
      <c r="I95" s="161"/>
      <c r="J95" s="161"/>
      <c r="K95" s="161"/>
      <c r="L95" s="161"/>
      <c r="M95" s="161"/>
      <c r="N95" s="162"/>
    </row>
    <row r="96" s="70" customFormat="true" ht="16.5" hidden="false" customHeight="true" outlineLevel="0" collapsed="false">
      <c r="B96" s="47" t="n">
        <v>4</v>
      </c>
      <c r="C96" s="23" t="s">
        <v>259</v>
      </c>
      <c r="D96" s="23"/>
      <c r="E96" s="23"/>
      <c r="F96" s="102" t="n">
        <f aca="false">MOD_4_CUSTO_REPOSICAO_SERV</f>
        <v>209.625260025574</v>
      </c>
      <c r="H96" s="161"/>
      <c r="I96" s="161"/>
      <c r="J96" s="161"/>
      <c r="K96" s="161"/>
      <c r="L96" s="161"/>
      <c r="M96" s="161"/>
      <c r="N96" s="162"/>
    </row>
    <row r="97" s="67" customFormat="true" ht="16.5" hidden="false" customHeight="true" outlineLevel="0" collapsed="false">
      <c r="B97" s="47" t="n">
        <v>5</v>
      </c>
      <c r="C97" s="71" t="s">
        <v>97</v>
      </c>
      <c r="D97" s="71"/>
      <c r="E97" s="71"/>
      <c r="F97" s="100" t="n">
        <f aca="false">MOD_5_INSUMOS_SERV</f>
        <v>514.136358333333</v>
      </c>
      <c r="H97" s="161"/>
      <c r="I97" s="161"/>
      <c r="J97" s="161"/>
      <c r="K97" s="161"/>
      <c r="L97" s="161"/>
      <c r="M97" s="161"/>
      <c r="N97" s="162"/>
    </row>
    <row r="98" s="68" customFormat="true" ht="16.5" hidden="false" customHeight="true" outlineLevel="0" collapsed="false">
      <c r="B98" s="47" t="n">
        <v>6</v>
      </c>
      <c r="C98" s="23" t="s">
        <v>252</v>
      </c>
      <c r="D98" s="23"/>
      <c r="E98" s="23"/>
      <c r="F98" s="102" t="n">
        <f aca="false">MOD_6_CUSTOS_IND_LUCRO_TRIB_SERV</f>
        <v>562.257214963717</v>
      </c>
      <c r="H98" s="161"/>
      <c r="I98" s="161"/>
      <c r="J98" s="161"/>
      <c r="K98" s="161"/>
      <c r="L98" s="161"/>
      <c r="M98" s="161"/>
      <c r="N98" s="162"/>
    </row>
    <row r="99" s="68" customFormat="true" ht="16.5" hidden="false" customHeight="true" outlineLevel="0" collapsed="false">
      <c r="B99" s="46" t="s">
        <v>263</v>
      </c>
      <c r="C99" s="46"/>
      <c r="D99" s="46"/>
      <c r="E99" s="46"/>
      <c r="F99" s="157" t="n">
        <f aca="false">SUM(F93:F98)</f>
        <v>3235.4974285273</v>
      </c>
      <c r="H99" s="161"/>
      <c r="I99" s="161"/>
      <c r="J99" s="161"/>
      <c r="K99" s="161"/>
      <c r="L99" s="161"/>
      <c r="M99" s="161"/>
      <c r="N99" s="162"/>
    </row>
    <row r="100" s="68" customFormat="true" ht="16.5" hidden="false" customHeight="false" outlineLevel="0" collapsed="false">
      <c r="B100" s="1"/>
      <c r="C100" s="1"/>
      <c r="D100" s="1"/>
      <c r="E100" s="1"/>
      <c r="F100" s="1"/>
      <c r="H100" s="161"/>
      <c r="I100" s="161"/>
      <c r="J100" s="161"/>
      <c r="K100" s="161"/>
      <c r="L100" s="161"/>
      <c r="M100" s="161"/>
      <c r="N100" s="162"/>
    </row>
    <row r="101" customFormat="false" ht="16.5" hidden="false" customHeight="true" outlineLevel="0" collapsed="false">
      <c r="L101" s="161"/>
      <c r="M101" s="161"/>
    </row>
    <row r="102" customFormat="false" ht="16.5" hidden="false" customHeight="true" outlineLevel="0" collapsed="false">
      <c r="L102" s="161"/>
      <c r="M102" s="161"/>
    </row>
    <row r="103" customFormat="false" ht="16.5" hidden="false" customHeight="false" outlineLevel="0" collapsed="false">
      <c r="L103" s="161"/>
      <c r="M103" s="161"/>
    </row>
    <row r="104" customFormat="false" ht="16.5" hidden="false" customHeight="false" outlineLevel="0" collapsed="false">
      <c r="L104" s="161"/>
      <c r="M104" s="161"/>
    </row>
    <row r="105" customFormat="false" ht="16.5" hidden="false" customHeight="false" outlineLevel="0" collapsed="false">
      <c r="L105" s="161"/>
      <c r="M105" s="161"/>
    </row>
    <row r="106" customFormat="false" ht="16.5" hidden="false" customHeight="false" outlineLevel="0" collapsed="false">
      <c r="L106" s="161"/>
      <c r="M106" s="161"/>
    </row>
    <row r="107" customFormat="false" ht="16.5" hidden="false" customHeight="false" outlineLevel="0" collapsed="false">
      <c r="L107" s="161"/>
      <c r="M107" s="161"/>
    </row>
    <row r="108" customFormat="false" ht="16.5" hidden="false" customHeight="false" outlineLevel="0" collapsed="false">
      <c r="L108" s="161"/>
      <c r="M108" s="161"/>
    </row>
    <row r="109" customFormat="false" ht="16.5" hidden="false" customHeight="false" outlineLevel="0" collapsed="false">
      <c r="L109" s="161"/>
      <c r="M109" s="161"/>
      <c r="N109" s="161"/>
    </row>
    <row r="110" customFormat="false" ht="16.5" hidden="false" customHeight="false" outlineLevel="0" collapsed="false">
      <c r="L110" s="161"/>
      <c r="M110" s="161"/>
      <c r="N110" s="161"/>
    </row>
    <row r="111" customFormat="false" ht="16.5" hidden="false" customHeight="false" outlineLevel="0" collapsed="false">
      <c r="L111" s="161"/>
      <c r="M111" s="161"/>
      <c r="N111" s="161"/>
    </row>
    <row r="112" customFormat="false" ht="16.5" hidden="false" customHeight="false" outlineLevel="0" collapsed="false">
      <c r="L112" s="161"/>
      <c r="M112" s="161"/>
      <c r="N112" s="161"/>
    </row>
    <row r="113" customFormat="false" ht="16.5" hidden="false" customHeight="false" outlineLevel="0" collapsed="false">
      <c r="L113" s="161"/>
      <c r="M113" s="161"/>
      <c r="N113" s="161"/>
    </row>
    <row r="114" customFormat="false" ht="16.5" hidden="false" customHeight="false" outlineLevel="0" collapsed="false">
      <c r="L114" s="161"/>
      <c r="M114" s="161"/>
      <c r="N114" s="161"/>
    </row>
    <row r="115" customFormat="false" ht="16.5" hidden="false" customHeight="false" outlineLevel="0" collapsed="false">
      <c r="L115" s="161"/>
      <c r="M115" s="161"/>
      <c r="N115" s="161"/>
    </row>
    <row r="116" customFormat="false" ht="16.5" hidden="false" customHeight="false" outlineLevel="0" collapsed="false">
      <c r="H116" s="169"/>
      <c r="I116" s="169"/>
      <c r="J116" s="169"/>
      <c r="K116" s="169"/>
      <c r="L116" s="169"/>
      <c r="M116" s="169"/>
      <c r="N116" s="169"/>
    </row>
    <row r="117" customFormat="false" ht="16.5" hidden="false" customHeight="false" outlineLevel="0" collapsed="false">
      <c r="H117" s="169"/>
      <c r="I117" s="169"/>
      <c r="J117" s="169"/>
      <c r="K117" s="169"/>
      <c r="L117" s="169"/>
      <c r="M117" s="169"/>
      <c r="N117" s="169"/>
    </row>
    <row r="118" customFormat="false" ht="16.5" hidden="false" customHeight="false" outlineLevel="0" collapsed="false">
      <c r="H118" s="169"/>
      <c r="I118" s="169"/>
      <c r="J118" s="169"/>
      <c r="K118" s="169"/>
      <c r="L118" s="169"/>
      <c r="M118" s="169"/>
      <c r="N118" s="169"/>
    </row>
    <row r="119" customFormat="false" ht="16.5" hidden="false" customHeight="false" outlineLevel="0" collapsed="false">
      <c r="H119" s="169"/>
      <c r="I119" s="169"/>
      <c r="J119" s="169"/>
      <c r="K119" s="169"/>
      <c r="L119" s="169"/>
      <c r="M119" s="169"/>
      <c r="N119" s="169"/>
    </row>
    <row r="120" customFormat="false" ht="16.5" hidden="false" customHeight="false" outlineLevel="0" collapsed="false">
      <c r="H120" s="169"/>
      <c r="I120" s="169"/>
      <c r="J120" s="169"/>
      <c r="K120" s="169"/>
      <c r="L120" s="169"/>
      <c r="M120" s="169"/>
      <c r="N120" s="169"/>
    </row>
    <row r="121" customFormat="false" ht="16.5" hidden="false" customHeight="false" outlineLevel="0" collapsed="false">
      <c r="H121" s="170"/>
      <c r="I121" s="170"/>
      <c r="J121" s="170"/>
      <c r="K121" s="170"/>
      <c r="L121" s="170"/>
      <c r="M121" s="170"/>
      <c r="N121" s="170"/>
    </row>
    <row r="122" customFormat="false" ht="16.5" hidden="false" customHeight="false" outlineLevel="0" collapsed="false">
      <c r="H122" s="169"/>
      <c r="I122" s="169"/>
      <c r="J122" s="169"/>
      <c r="K122" s="169"/>
      <c r="L122" s="169"/>
      <c r="M122" s="169"/>
      <c r="N122" s="169"/>
    </row>
    <row r="123" customFormat="false" ht="16.5" hidden="false" customHeight="false" outlineLevel="0" collapsed="false">
      <c r="H123" s="113"/>
      <c r="I123" s="113"/>
      <c r="J123" s="113"/>
      <c r="K123" s="113"/>
      <c r="L123" s="113"/>
      <c r="M123" s="113"/>
      <c r="N123" s="113"/>
    </row>
    <row r="124" customFormat="false" ht="16.5" hidden="false" customHeight="false" outlineLevel="0" collapsed="false">
      <c r="H124" s="113"/>
      <c r="I124" s="113"/>
      <c r="J124" s="113"/>
      <c r="K124" s="113"/>
      <c r="L124" s="113"/>
      <c r="M124" s="113"/>
      <c r="N124" s="113"/>
    </row>
    <row r="125" customFormat="false" ht="16.5" hidden="false" customHeight="false" outlineLevel="0" collapsed="false">
      <c r="H125" s="113"/>
      <c r="I125" s="113"/>
      <c r="J125" s="113"/>
      <c r="K125" s="113"/>
      <c r="L125" s="113"/>
      <c r="M125" s="113"/>
      <c r="N125" s="113"/>
    </row>
    <row r="126" customFormat="false" ht="16.5" hidden="false" customHeight="false" outlineLevel="0" collapsed="false">
      <c r="H126" s="113"/>
      <c r="I126" s="113"/>
      <c r="J126" s="113"/>
      <c r="K126" s="113"/>
      <c r="L126" s="113"/>
      <c r="M126" s="113"/>
      <c r="N126" s="113"/>
    </row>
    <row r="127" customFormat="false" ht="16.5" hidden="false" customHeight="false" outlineLevel="0" collapsed="false">
      <c r="H127" s="113"/>
      <c r="I127" s="113"/>
      <c r="J127" s="113"/>
      <c r="K127" s="113"/>
      <c r="L127" s="113"/>
      <c r="M127" s="113"/>
      <c r="N127" s="113"/>
    </row>
    <row r="128" customFormat="false" ht="16.5" hidden="false" customHeight="false" outlineLevel="0" collapsed="false">
      <c r="L128" s="161"/>
      <c r="M128" s="161"/>
      <c r="N128" s="161"/>
    </row>
    <row r="129" customFormat="false" ht="16.5" hidden="false" customHeight="false" outlineLevel="0" collapsed="false">
      <c r="L129" s="161"/>
      <c r="M129" s="161"/>
      <c r="N129" s="161"/>
    </row>
    <row r="130" customFormat="false" ht="16.5" hidden="false" customHeight="false" outlineLevel="0" collapsed="false">
      <c r="L130" s="161"/>
      <c r="M130" s="161"/>
      <c r="N130" s="161"/>
    </row>
    <row r="131" customFormat="false" ht="16.5" hidden="false" customHeight="false" outlineLevel="0" collapsed="false">
      <c r="L131" s="161"/>
      <c r="M131" s="161"/>
      <c r="N131" s="161"/>
    </row>
    <row r="132" customFormat="false" ht="16.5" hidden="false" customHeight="false" outlineLevel="0" collapsed="false">
      <c r="L132" s="161"/>
      <c r="M132" s="161"/>
      <c r="N132" s="161"/>
    </row>
    <row r="133" customFormat="false" ht="16.5" hidden="false" customHeight="false" outlineLevel="0" collapsed="false">
      <c r="L133" s="161"/>
      <c r="M133" s="161"/>
      <c r="N133" s="161"/>
    </row>
    <row r="134" customFormat="false" ht="16.5" hidden="false" customHeight="false" outlineLevel="0" collapsed="false">
      <c r="L134" s="161"/>
      <c r="M134" s="161"/>
      <c r="N134" s="161"/>
    </row>
    <row r="144" customFormat="false" ht="16.5" hidden="false" customHeight="false" outlineLevel="0" collapsed="false">
      <c r="H144" s="162"/>
      <c r="I144" s="162"/>
      <c r="J144" s="162"/>
      <c r="K144" s="162"/>
    </row>
    <row r="145" customFormat="false" ht="16.5" hidden="false" customHeight="false" outlineLevel="0" collapsed="false">
      <c r="H145" s="162"/>
      <c r="I145" s="162"/>
      <c r="J145" s="162"/>
      <c r="K145" s="162"/>
    </row>
    <row r="146" customFormat="false" ht="16.5" hidden="false" customHeight="false" outlineLevel="0" collapsed="false">
      <c r="H146" s="162"/>
      <c r="I146" s="162"/>
      <c r="J146" s="162"/>
      <c r="K146" s="162"/>
    </row>
    <row r="147" customFormat="false" ht="16.5" hidden="false" customHeight="false" outlineLevel="0" collapsed="false">
      <c r="H147" s="162"/>
      <c r="I147" s="162"/>
      <c r="J147" s="162"/>
      <c r="K147" s="162"/>
    </row>
    <row r="148" customFormat="false" ht="16.5" hidden="false" customHeight="false" outlineLevel="0" collapsed="false">
      <c r="H148" s="162"/>
      <c r="I148" s="162"/>
      <c r="J148" s="162"/>
      <c r="K148" s="162"/>
    </row>
    <row r="149" customFormat="false" ht="16.5" hidden="false" customHeight="false" outlineLevel="0" collapsed="false">
      <c r="H149" s="162"/>
      <c r="I149" s="162"/>
      <c r="J149" s="162"/>
      <c r="K149" s="162"/>
    </row>
    <row r="150" customFormat="false" ht="16.5" hidden="false" customHeight="false" outlineLevel="0" collapsed="false">
      <c r="H150" s="162"/>
      <c r="I150" s="162"/>
      <c r="J150" s="162"/>
      <c r="K150" s="162"/>
    </row>
    <row r="151" customFormat="false" ht="16.5" hidden="false" customHeight="false" outlineLevel="0" collapsed="false">
      <c r="H151" s="162"/>
      <c r="I151" s="162"/>
      <c r="J151" s="162"/>
      <c r="K151" s="162"/>
    </row>
    <row r="152" customFormat="false" ht="16.5" hidden="false" customHeight="false" outlineLevel="0" collapsed="false">
      <c r="H152" s="162"/>
      <c r="I152" s="162"/>
      <c r="J152" s="162"/>
      <c r="K152" s="162"/>
    </row>
    <row r="153" customFormat="false" ht="16.5" hidden="false" customHeight="false" outlineLevel="0" collapsed="false">
      <c r="H153" s="162"/>
      <c r="I153" s="162"/>
      <c r="J153" s="162"/>
      <c r="K153" s="162"/>
    </row>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J1048576"/>
  <sheetViews>
    <sheetView showFormulas="false" showGridLines="true" showRowColHeaders="true" showZeros="true" rightToLeft="false" tabSelected="false" showOutlineSymbols="true" defaultGridColor="true" view="normal" topLeftCell="A1" colorId="64" zoomScale="113" zoomScaleNormal="113" zoomScalePageLayoutView="100" workbookViewId="0">
      <selection pane="topLeft" activeCell="A1" activeCellId="0" sqref="A1"/>
    </sheetView>
  </sheetViews>
  <sheetFormatPr defaultRowHeight="13.8" zeroHeight="false" outlineLevelRow="0" outlineLevelCol="0"/>
  <cols>
    <col collapsed="false" customWidth="true" hidden="false" outlineLevel="0" max="1" min="1" style="166" width="1.12"/>
    <col collapsed="false" customWidth="true" hidden="false" outlineLevel="0" max="2" min="2" style="161" width="20.71"/>
    <col collapsed="false" customWidth="true" hidden="false" outlineLevel="0" max="3" min="3" style="113" width="20.42"/>
    <col collapsed="false" customWidth="true" hidden="false" outlineLevel="0" max="4" min="4" style="161" width="18.58"/>
    <col collapsed="false" customWidth="true" hidden="false" outlineLevel="0" max="5" min="5" style="161" width="17.4"/>
    <col collapsed="false" customWidth="true" hidden="false" outlineLevel="0" max="6" min="6" style="161" width="16.41"/>
    <col collapsed="false" customWidth="true" hidden="false" outlineLevel="0" max="7" min="7" style="162" width="17.71"/>
    <col collapsed="false" customWidth="true" hidden="false" outlineLevel="0" max="8" min="8" style="162" width="18.85"/>
    <col collapsed="false" customWidth="true" hidden="false" outlineLevel="0" max="9" min="9" style="162" width="17.29"/>
    <col collapsed="false" customWidth="true" hidden="false" outlineLevel="0" max="10" min="10" style="166" width="20.33"/>
    <col collapsed="false" customWidth="true" hidden="false" outlineLevel="0" max="257" min="11" style="166" width="9.13"/>
    <col collapsed="false" customWidth="true" hidden="false" outlineLevel="0" max="258" min="258" style="166" width="1.12"/>
    <col collapsed="false" customWidth="true" hidden="false" outlineLevel="0" max="259" min="259" style="166" width="20.71"/>
    <col collapsed="false" customWidth="true" hidden="false" outlineLevel="0" max="260" min="260" style="166" width="23.42"/>
    <col collapsed="false" customWidth="true" hidden="false" outlineLevel="0" max="261" min="261" style="166" width="20.57"/>
    <col collapsed="false" customWidth="true" hidden="false" outlineLevel="0" max="262" min="262" style="166" width="19.99"/>
    <col collapsed="false" customWidth="true" hidden="false" outlineLevel="0" max="263" min="263" style="166" width="23.15"/>
    <col collapsed="false" customWidth="true" hidden="false" outlineLevel="0" max="264" min="264" style="166" width="13.57"/>
    <col collapsed="false" customWidth="true" hidden="false" outlineLevel="0" max="265" min="265" style="166" width="17.29"/>
    <col collapsed="false" customWidth="true" hidden="false" outlineLevel="0" max="513" min="266" style="166" width="9.13"/>
    <col collapsed="false" customWidth="true" hidden="false" outlineLevel="0" max="514" min="514" style="166" width="1.12"/>
    <col collapsed="false" customWidth="true" hidden="false" outlineLevel="0" max="515" min="515" style="166" width="20.71"/>
    <col collapsed="false" customWidth="true" hidden="false" outlineLevel="0" max="516" min="516" style="166" width="23.42"/>
    <col collapsed="false" customWidth="true" hidden="false" outlineLevel="0" max="517" min="517" style="166" width="20.57"/>
    <col collapsed="false" customWidth="true" hidden="false" outlineLevel="0" max="518" min="518" style="166" width="19.99"/>
    <col collapsed="false" customWidth="true" hidden="false" outlineLevel="0" max="519" min="519" style="166" width="23.15"/>
    <col collapsed="false" customWidth="true" hidden="false" outlineLevel="0" max="520" min="520" style="166" width="13.57"/>
    <col collapsed="false" customWidth="true" hidden="false" outlineLevel="0" max="521" min="521" style="166" width="17.29"/>
    <col collapsed="false" customWidth="true" hidden="false" outlineLevel="0" max="769" min="522" style="166" width="9.13"/>
    <col collapsed="false" customWidth="true" hidden="false" outlineLevel="0" max="770" min="770" style="166" width="1.12"/>
    <col collapsed="false" customWidth="true" hidden="false" outlineLevel="0" max="771" min="771" style="166" width="20.71"/>
    <col collapsed="false" customWidth="true" hidden="false" outlineLevel="0" max="772" min="772" style="166" width="23.42"/>
    <col collapsed="false" customWidth="true" hidden="false" outlineLevel="0" max="773" min="773" style="166" width="20.57"/>
    <col collapsed="false" customWidth="true" hidden="false" outlineLevel="0" max="774" min="774" style="166" width="19.99"/>
    <col collapsed="false" customWidth="true" hidden="false" outlineLevel="0" max="775" min="775" style="166" width="23.15"/>
    <col collapsed="false" customWidth="true" hidden="false" outlineLevel="0" max="776" min="776" style="166" width="13.57"/>
    <col collapsed="false" customWidth="true" hidden="false" outlineLevel="0" max="777" min="777" style="166" width="17.29"/>
    <col collapsed="false" customWidth="true" hidden="false" outlineLevel="0" max="1025" min="778" style="166" width="9.13"/>
  </cols>
  <sheetData>
    <row r="1" s="171" customFormat="true" ht="17.35" hidden="false" customHeight="false" outlineLevel="0" collapsed="false">
      <c r="B1" s="172" t="str">
        <f aca="false">RAMO</f>
        <v>RAMO: MINISTÉRIO PÚBLICO FEDERAL</v>
      </c>
      <c r="C1" s="172"/>
      <c r="D1" s="172"/>
      <c r="E1" s="172"/>
      <c r="F1" s="172"/>
      <c r="G1" s="172"/>
      <c r="H1" s="172"/>
      <c r="I1" s="172"/>
    </row>
    <row r="2" s="171" customFormat="true" ht="17.35" hidden="false" customHeight="false" outlineLevel="0" collapsed="false">
      <c r="B2" s="173" t="str">
        <f aca="false">UG</f>
        <v>UNIDADE GESTORA (SIGLA): PRMS</v>
      </c>
      <c r="C2" s="173"/>
      <c r="D2" s="173"/>
      <c r="E2" s="173"/>
      <c r="F2" s="173"/>
      <c r="G2" s="173"/>
      <c r="H2" s="116" t="s">
        <v>2</v>
      </c>
      <c r="I2" s="117" t="str">
        <f aca="false">IF(DATA_DO_ORCAMENTO_ESTIMATIVO="","",DATA_DO_ORCAMENTO_ESTIMATIVO)</f>
        <v/>
      </c>
    </row>
    <row r="3" customFormat="false" ht="9" hidden="false" customHeight="true" outlineLevel="0" collapsed="false"/>
    <row r="4" customFormat="false" ht="17.35" hidden="false" customHeight="false" outlineLevel="0" collapsed="false">
      <c r="B4" s="174" t="s">
        <v>264</v>
      </c>
      <c r="C4" s="174"/>
      <c r="D4" s="174"/>
      <c r="E4" s="174"/>
      <c r="F4" s="174"/>
      <c r="G4" s="174"/>
      <c r="H4" s="174"/>
      <c r="I4" s="174"/>
    </row>
    <row r="5" customFormat="false" ht="15" hidden="false" customHeight="true" outlineLevel="0" collapsed="false">
      <c r="B5" s="175" t="s">
        <v>265</v>
      </c>
      <c r="C5" s="175"/>
      <c r="D5" s="175"/>
      <c r="E5" s="175"/>
      <c r="F5" s="175"/>
      <c r="G5" s="175"/>
      <c r="H5" s="175"/>
      <c r="I5" s="175"/>
    </row>
    <row r="6" s="176" customFormat="true" ht="10.5" hidden="false" customHeight="true" outlineLevel="0" collapsed="false">
      <c r="B6" s="177"/>
      <c r="C6" s="178"/>
      <c r="D6" s="177"/>
      <c r="E6" s="177"/>
      <c r="F6" s="177"/>
      <c r="G6" s="177"/>
      <c r="H6" s="177"/>
      <c r="I6" s="177"/>
    </row>
    <row r="7" customFormat="false" ht="15" hidden="false" customHeight="true" outlineLevel="0" collapsed="false">
      <c r="B7" s="175" t="s">
        <v>266</v>
      </c>
      <c r="C7" s="175"/>
      <c r="D7" s="175"/>
      <c r="E7" s="175"/>
      <c r="F7" s="175"/>
      <c r="G7" s="175"/>
      <c r="H7" s="175"/>
      <c r="I7" s="175"/>
    </row>
    <row r="8" customFormat="false" ht="14.25" hidden="false" customHeight="true" outlineLevel="0" collapsed="false">
      <c r="B8" s="179" t="s">
        <v>267</v>
      </c>
      <c r="C8" s="179"/>
      <c r="D8" s="179"/>
      <c r="E8" s="179"/>
      <c r="F8" s="179"/>
      <c r="G8" s="179"/>
      <c r="H8" s="179"/>
      <c r="I8" s="179"/>
    </row>
    <row r="9" customFormat="false" ht="15.75" hidden="false" customHeight="true" outlineLevel="0" collapsed="false">
      <c r="B9" s="179"/>
      <c r="C9" s="179"/>
      <c r="D9" s="179"/>
      <c r="E9" s="179"/>
      <c r="F9" s="179"/>
      <c r="G9" s="179"/>
      <c r="H9" s="179"/>
      <c r="I9" s="179"/>
    </row>
    <row r="10" customFormat="false" ht="27" hidden="false" customHeight="true" outlineLevel="0" collapsed="false">
      <c r="A10" s="180"/>
      <c r="B10" s="19" t="s">
        <v>268</v>
      </c>
      <c r="C10" s="47" t="s">
        <v>269</v>
      </c>
      <c r="D10" s="47" t="s">
        <v>270</v>
      </c>
      <c r="E10" s="47" t="s">
        <v>271</v>
      </c>
      <c r="F10" s="47" t="s">
        <v>272</v>
      </c>
      <c r="G10" s="181"/>
      <c r="I10" s="166"/>
    </row>
    <row r="11" customFormat="false" ht="27" hidden="false" customHeight="true" outlineLevel="0" collapsed="false">
      <c r="A11" s="180"/>
      <c r="B11" s="19"/>
      <c r="C11" s="47"/>
      <c r="D11" s="47"/>
      <c r="E11" s="47"/>
      <c r="F11" s="47"/>
      <c r="G11" s="182"/>
      <c r="H11" s="161"/>
      <c r="I11" s="161"/>
    </row>
    <row r="12" customFormat="false" ht="16.4" hidden="false" customHeight="false" outlineLevel="0" collapsed="false">
      <c r="A12" s="180"/>
      <c r="B12" s="84" t="s">
        <v>273</v>
      </c>
      <c r="C12" s="88" t="s">
        <v>274</v>
      </c>
      <c r="D12" s="183" t="n">
        <f aca="false">1/('INSERÇÃO-DE-DADOS_PRODUTIVIDADE'!J9*'INSERÇÃO-DE-DADOS_PRODUTIVIDADE'!P17)</f>
        <v>0.000208333333333333</v>
      </c>
      <c r="E12" s="184" t="n">
        <f aca="false">ENCARREGADO!VALOR_TOTAL_ENC</f>
        <v>2980.68408214935</v>
      </c>
      <c r="F12" s="185" t="n">
        <f aca="false">D12*E12</f>
        <v>0.620975850447781</v>
      </c>
      <c r="G12" s="182"/>
      <c r="H12" s="161"/>
      <c r="I12" s="161"/>
    </row>
    <row r="13" customFormat="false" ht="16.4" hidden="false" customHeight="false" outlineLevel="0" collapsed="false">
      <c r="A13" s="180"/>
      <c r="B13" s="84" t="s">
        <v>275</v>
      </c>
      <c r="C13" s="88" t="s">
        <v>274</v>
      </c>
      <c r="D13" s="183" t="n">
        <f aca="false">1/'INSERÇÃO-DE-DADOS_PRODUTIVIDADE'!J9</f>
        <v>0.00125</v>
      </c>
      <c r="E13" s="184" t="n">
        <f aca="false">'SERVENTE CG'!F99</f>
        <v>3235.4974285273</v>
      </c>
      <c r="F13" s="185" t="n">
        <f aca="false">D13*E13</f>
        <v>4.04437178565912</v>
      </c>
      <c r="G13" s="182"/>
      <c r="H13" s="161"/>
      <c r="I13" s="161"/>
    </row>
    <row r="14" customFormat="false" ht="13.8" hidden="false" customHeight="false" outlineLevel="0" collapsed="false">
      <c r="A14" s="180"/>
      <c r="B14" s="186" t="s">
        <v>276</v>
      </c>
      <c r="C14" s="186"/>
      <c r="D14" s="186"/>
      <c r="E14" s="186"/>
      <c r="F14" s="187" t="n">
        <f aca="false">SUM(F12:F13)</f>
        <v>4.6653476361069</v>
      </c>
      <c r="G14" s="182"/>
      <c r="H14" s="161"/>
      <c r="I14" s="161"/>
    </row>
    <row r="15" customFormat="false" ht="16.4" hidden="false" customHeight="false" outlineLevel="0" collapsed="false">
      <c r="A15" s="180"/>
      <c r="B15" s="84" t="s">
        <v>273</v>
      </c>
      <c r="C15" s="88" t="s">
        <v>277</v>
      </c>
      <c r="D15" s="183" t="n">
        <f aca="false">1/('INSERÇÃO-DE-DADOS_PRODUTIVIDADE'!J10*'INSERÇÃO-DE-DADOS_PRODUTIVIDADE'!P17)</f>
        <v>0.000111111111111111</v>
      </c>
      <c r="E15" s="184" t="n">
        <f aca="false">ENCARREGADO!F99</f>
        <v>2980.68408214935</v>
      </c>
      <c r="F15" s="185" t="n">
        <f aca="false">D15*E15</f>
        <v>0.331187120238816</v>
      </c>
      <c r="G15" s="182"/>
      <c r="H15" s="161"/>
      <c r="I15" s="161"/>
    </row>
    <row r="16" customFormat="false" ht="16.4" hidden="false" customHeight="false" outlineLevel="0" collapsed="false">
      <c r="A16" s="180"/>
      <c r="B16" s="84" t="s">
        <v>275</v>
      </c>
      <c r="C16" s="88" t="s">
        <v>277</v>
      </c>
      <c r="D16" s="183" t="n">
        <f aca="false">1/('INSERÇÃO-DE-DADOS_PRODUTIVIDADE'!J10)</f>
        <v>0.000666666666666667</v>
      </c>
      <c r="E16" s="184" t="n">
        <f aca="false">'SERVENTE CG'!F99</f>
        <v>3235.4974285273</v>
      </c>
      <c r="F16" s="185" t="n">
        <f aca="false">D16*E16</f>
        <v>2.15699828568487</v>
      </c>
      <c r="G16" s="182"/>
      <c r="H16" s="161"/>
      <c r="I16" s="161"/>
    </row>
    <row r="17" customFormat="false" ht="13.8" hidden="false" customHeight="false" outlineLevel="0" collapsed="false">
      <c r="A17" s="180"/>
      <c r="B17" s="186" t="s">
        <v>278</v>
      </c>
      <c r="C17" s="186"/>
      <c r="D17" s="186"/>
      <c r="E17" s="186"/>
      <c r="F17" s="187" t="n">
        <f aca="false">SUM(F15:F16)</f>
        <v>2.48818540592368</v>
      </c>
      <c r="G17" s="182"/>
      <c r="H17" s="161"/>
      <c r="I17" s="161"/>
    </row>
    <row r="18" customFormat="false" ht="16.4" hidden="false" customHeight="false" outlineLevel="0" collapsed="false">
      <c r="A18" s="180"/>
      <c r="B18" s="84" t="s">
        <v>273</v>
      </c>
      <c r="C18" s="88" t="s">
        <v>279</v>
      </c>
      <c r="D18" s="183" t="n">
        <f aca="false">1/('INSERÇÃO-DE-DADOS_PRODUTIVIDADE'!J11*'INSERÇÃO-DE-DADOS_PRODUTIVIDADE'!P17)</f>
        <v>0.000833333333333333</v>
      </c>
      <c r="E18" s="184" t="n">
        <f aca="false">ENCARREGADO!F99</f>
        <v>2980.68408214935</v>
      </c>
      <c r="F18" s="185" t="n">
        <f aca="false">D18*E18</f>
        <v>2.48390340179112</v>
      </c>
      <c r="G18" s="182"/>
      <c r="H18" s="161"/>
      <c r="I18" s="161"/>
    </row>
    <row r="19" customFormat="false" ht="16.4" hidden="false" customHeight="false" outlineLevel="0" collapsed="false">
      <c r="A19" s="180"/>
      <c r="B19" s="84" t="s">
        <v>275</v>
      </c>
      <c r="C19" s="88" t="s">
        <v>279</v>
      </c>
      <c r="D19" s="183" t="n">
        <f aca="false">1/'INSERÇÃO-DE-DADOS_PRODUTIVIDADE'!J11</f>
        <v>0.005</v>
      </c>
      <c r="E19" s="184" t="n">
        <f aca="false">VALOR_TOTAL_SERV</f>
        <v>3235.4974285273</v>
      </c>
      <c r="F19" s="185" t="n">
        <f aca="false">D19*E19</f>
        <v>16.1774871426365</v>
      </c>
      <c r="G19" s="182"/>
      <c r="H19" s="161"/>
      <c r="I19" s="161"/>
    </row>
    <row r="20" customFormat="false" ht="13.8" hidden="false" customHeight="false" outlineLevel="0" collapsed="false">
      <c r="A20" s="180"/>
      <c r="B20" s="186" t="s">
        <v>280</v>
      </c>
      <c r="C20" s="186"/>
      <c r="D20" s="186"/>
      <c r="E20" s="186"/>
      <c r="F20" s="187" t="n">
        <f aca="false">SUM(F18:F19)</f>
        <v>18.6613905444276</v>
      </c>
      <c r="G20" s="182"/>
      <c r="H20" s="161"/>
      <c r="I20" s="161"/>
    </row>
    <row r="21" customFormat="false" ht="3.75" hidden="false" customHeight="true" outlineLevel="0" collapsed="false">
      <c r="B21" s="182"/>
      <c r="C21" s="188"/>
      <c r="D21" s="189"/>
      <c r="E21" s="189"/>
      <c r="F21" s="189"/>
      <c r="G21" s="190"/>
      <c r="H21" s="161"/>
      <c r="I21" s="161"/>
    </row>
    <row r="22" s="191" customFormat="true" ht="15.75" hidden="false" customHeight="true" outlineLevel="0" collapsed="false">
      <c r="B22" s="179" t="s">
        <v>281</v>
      </c>
      <c r="C22" s="179"/>
      <c r="D22" s="179"/>
      <c r="E22" s="179"/>
      <c r="F22" s="179"/>
      <c r="G22" s="179"/>
      <c r="H22" s="179"/>
      <c r="I22" s="179"/>
    </row>
    <row r="23" s="191" customFormat="true" ht="12.8" hidden="false" customHeight="false" outlineLevel="0" collapsed="false">
      <c r="B23" s="179"/>
      <c r="C23" s="179"/>
      <c r="D23" s="179"/>
      <c r="E23" s="179"/>
      <c r="F23" s="179"/>
      <c r="G23" s="179"/>
      <c r="H23" s="179"/>
      <c r="I23" s="179"/>
    </row>
    <row r="24" customFormat="false" ht="12.8" hidden="false" customHeight="true" outlineLevel="0" collapsed="false">
      <c r="A24" s="180"/>
      <c r="B24" s="19" t="s">
        <v>268</v>
      </c>
      <c r="C24" s="47" t="s">
        <v>269</v>
      </c>
      <c r="D24" s="47" t="s">
        <v>270</v>
      </c>
      <c r="E24" s="47" t="s">
        <v>271</v>
      </c>
      <c r="F24" s="47" t="s">
        <v>272</v>
      </c>
      <c r="G24" s="182"/>
    </row>
    <row r="25" customFormat="false" ht="31.5" hidden="false" customHeight="true" outlineLevel="0" collapsed="false">
      <c r="A25" s="180"/>
      <c r="B25" s="19"/>
      <c r="C25" s="47"/>
      <c r="D25" s="47"/>
      <c r="E25" s="47"/>
      <c r="F25" s="47"/>
      <c r="G25" s="182"/>
      <c r="H25" s="161"/>
    </row>
    <row r="26" customFormat="false" ht="16.4" hidden="false" customHeight="false" outlineLevel="0" collapsed="false">
      <c r="A26" s="180"/>
      <c r="B26" s="84" t="s">
        <v>273</v>
      </c>
      <c r="C26" s="88" t="s">
        <v>282</v>
      </c>
      <c r="D26" s="183" t="n">
        <f aca="false">1/('INSERÇÃO-DE-DADOS_PRODUTIVIDADE'!J12*'INSERÇÃO-DE-DADOS_PRODUTIVIDADE'!P17)</f>
        <v>9.25925925925926E-005</v>
      </c>
      <c r="E26" s="184" t="n">
        <f aca="false">ENCARREGADO!VALOR_TOTAL_ENC</f>
        <v>2980.68408214935</v>
      </c>
      <c r="F26" s="185" t="n">
        <f aca="false">D26*E26</f>
        <v>0.275989266865681</v>
      </c>
      <c r="G26" s="192"/>
      <c r="H26" s="161"/>
    </row>
    <row r="27" customFormat="false" ht="16.4" hidden="false" customHeight="false" outlineLevel="0" collapsed="false">
      <c r="A27" s="180"/>
      <c r="B27" s="84" t="s">
        <v>275</v>
      </c>
      <c r="C27" s="88" t="s">
        <v>282</v>
      </c>
      <c r="D27" s="183" t="n">
        <f aca="false">1/'INSERÇÃO-DE-DADOS_PRODUTIVIDADE'!J12</f>
        <v>0.000555555555555556</v>
      </c>
      <c r="E27" s="184" t="n">
        <f aca="false">VALOR_TOTAL_SERV</f>
        <v>3235.4974285273</v>
      </c>
      <c r="F27" s="185" t="n">
        <f aca="false">D27*E27</f>
        <v>1.79749857140406</v>
      </c>
      <c r="G27" s="182"/>
      <c r="H27" s="161"/>
    </row>
    <row r="28" customFormat="false" ht="13.8" hidden="false" customHeight="false" outlineLevel="0" collapsed="false">
      <c r="A28" s="180"/>
      <c r="B28" s="186" t="s">
        <v>283</v>
      </c>
      <c r="C28" s="186"/>
      <c r="D28" s="186"/>
      <c r="E28" s="186"/>
      <c r="F28" s="187" t="n">
        <f aca="false">SUM(F26:F27)</f>
        <v>2.07348783826974</v>
      </c>
      <c r="G28" s="182"/>
      <c r="H28" s="161"/>
    </row>
    <row r="29" customFormat="false" ht="46.25" hidden="false" customHeight="false" outlineLevel="0" collapsed="false">
      <c r="A29" s="180"/>
      <c r="B29" s="84" t="s">
        <v>273</v>
      </c>
      <c r="C29" s="88" t="s">
        <v>284</v>
      </c>
      <c r="D29" s="183" t="n">
        <f aca="false">1/('INSERÇÃO-DE-DADOS_PRODUTIVIDADE'!J13*'INSERÇÃO-DE-DADOS_PRODUTIVIDADE'!P17)</f>
        <v>2.77777777777778E-005</v>
      </c>
      <c r="E29" s="184" t="n">
        <f aca="false">ENCARREGADO!VALOR_TOTAL_ENC</f>
        <v>2980.68408214935</v>
      </c>
      <c r="F29" s="185" t="n">
        <f aca="false">D29*E29</f>
        <v>0.0827967800597043</v>
      </c>
      <c r="G29" s="182"/>
      <c r="H29" s="161"/>
    </row>
    <row r="30" customFormat="false" ht="46.25" hidden="false" customHeight="false" outlineLevel="0" collapsed="false">
      <c r="A30" s="180"/>
      <c r="B30" s="84" t="s">
        <v>275</v>
      </c>
      <c r="C30" s="88" t="s">
        <v>284</v>
      </c>
      <c r="D30" s="183" t="n">
        <f aca="false">1/'INSERÇÃO-DE-DADOS_PRODUTIVIDADE'!J13</f>
        <v>0.000166666666666667</v>
      </c>
      <c r="E30" s="184" t="n">
        <f aca="false">VALOR_TOTAL_SERV</f>
        <v>3235.4974285273</v>
      </c>
      <c r="F30" s="185" t="n">
        <f aca="false">D30*E30</f>
        <v>0.539249571421218</v>
      </c>
      <c r="G30" s="182"/>
      <c r="H30" s="161"/>
    </row>
    <row r="31" customFormat="false" ht="13.8" hidden="false" customHeight="false" outlineLevel="0" collapsed="false">
      <c r="A31" s="180"/>
      <c r="B31" s="186" t="s">
        <v>285</v>
      </c>
      <c r="C31" s="186"/>
      <c r="D31" s="186"/>
      <c r="E31" s="186"/>
      <c r="F31" s="187" t="n">
        <f aca="false">SUM(F29:F30)</f>
        <v>0.622046351480922</v>
      </c>
      <c r="G31" s="182"/>
      <c r="H31" s="161"/>
    </row>
    <row r="32" customFormat="false" ht="16.4" hidden="false" customHeight="false" outlineLevel="0" collapsed="false">
      <c r="A32" s="180"/>
      <c r="B32" s="84" t="s">
        <v>273</v>
      </c>
      <c r="C32" s="88" t="s">
        <v>286</v>
      </c>
      <c r="D32" s="183" t="n">
        <f aca="false">1/('INSERÇÃO-DE-DADOS_PRODUTIVIDADE'!J14*'INSERÇÃO-DE-DADOS_PRODUTIVIDADE'!P17)</f>
        <v>9.25925925925926E-005</v>
      </c>
      <c r="E32" s="184" t="n">
        <f aca="false">ENCARREGADO!VALOR_TOTAL_ENC</f>
        <v>2980.68408214935</v>
      </c>
      <c r="F32" s="185" t="n">
        <f aca="false">D32*E32</f>
        <v>0.275989266865681</v>
      </c>
      <c r="G32" s="182"/>
      <c r="H32" s="161"/>
    </row>
    <row r="33" customFormat="false" ht="16.4" hidden="false" customHeight="false" outlineLevel="0" collapsed="false">
      <c r="A33" s="180"/>
      <c r="B33" s="84" t="s">
        <v>275</v>
      </c>
      <c r="C33" s="88" t="s">
        <v>286</v>
      </c>
      <c r="D33" s="183" t="n">
        <f aca="false">1/'INSERÇÃO-DE-DADOS_PRODUTIVIDADE'!J14</f>
        <v>0.000555555555555556</v>
      </c>
      <c r="E33" s="184" t="n">
        <f aca="false">VALOR_TOTAL_SERV</f>
        <v>3235.4974285273</v>
      </c>
      <c r="F33" s="185" t="n">
        <f aca="false">D33*E33</f>
        <v>1.79749857140406</v>
      </c>
      <c r="G33" s="182"/>
      <c r="H33" s="161"/>
    </row>
    <row r="34" customFormat="false" ht="13.8" hidden="false" customHeight="false" outlineLevel="0" collapsed="false">
      <c r="A34" s="180"/>
      <c r="B34" s="186" t="s">
        <v>276</v>
      </c>
      <c r="C34" s="186"/>
      <c r="D34" s="186"/>
      <c r="E34" s="186"/>
      <c r="F34" s="187" t="n">
        <f aca="false">SUM(F32:F33)</f>
        <v>2.07348783826974</v>
      </c>
      <c r="G34" s="182"/>
      <c r="H34" s="161"/>
    </row>
    <row r="35" customFormat="false" ht="3.75" hidden="false" customHeight="true" outlineLevel="0" collapsed="false">
      <c r="B35" s="182"/>
      <c r="C35" s="188"/>
      <c r="D35" s="189"/>
      <c r="E35" s="189"/>
      <c r="F35" s="189"/>
      <c r="G35" s="193"/>
      <c r="H35" s="181"/>
      <c r="I35" s="181"/>
    </row>
    <row r="36" s="191" customFormat="true" ht="12.75" hidden="false" customHeight="true" outlineLevel="0" collapsed="false">
      <c r="B36" s="179" t="s">
        <v>287</v>
      </c>
      <c r="C36" s="179"/>
      <c r="D36" s="179"/>
      <c r="E36" s="179"/>
      <c r="F36" s="179"/>
      <c r="G36" s="179"/>
      <c r="H36" s="179"/>
      <c r="I36" s="179"/>
    </row>
    <row r="37" s="191" customFormat="true" ht="15.75" hidden="false" customHeight="true" outlineLevel="0" collapsed="false">
      <c r="B37" s="179"/>
      <c r="C37" s="179"/>
      <c r="D37" s="179"/>
      <c r="E37" s="179"/>
      <c r="F37" s="179"/>
      <c r="G37" s="179"/>
      <c r="H37" s="179"/>
      <c r="I37" s="179"/>
    </row>
    <row r="38" customFormat="false" ht="12.8" hidden="false" customHeight="true" outlineLevel="0" collapsed="false">
      <c r="A38" s="180"/>
      <c r="B38" s="19" t="s">
        <v>268</v>
      </c>
      <c r="C38" s="47" t="s">
        <v>269</v>
      </c>
      <c r="D38" s="47" t="s">
        <v>270</v>
      </c>
      <c r="E38" s="47" t="s">
        <v>288</v>
      </c>
      <c r="F38" s="47" t="s">
        <v>289</v>
      </c>
      <c r="G38" s="47" t="s">
        <v>290</v>
      </c>
      <c r="H38" s="47" t="s">
        <v>291</v>
      </c>
      <c r="I38" s="47" t="s">
        <v>292</v>
      </c>
    </row>
    <row r="39" customFormat="false" ht="12.8" hidden="false" customHeight="false" outlineLevel="0" collapsed="false">
      <c r="A39" s="180"/>
      <c r="B39" s="19"/>
      <c r="C39" s="47"/>
      <c r="D39" s="47"/>
      <c r="E39" s="47"/>
      <c r="F39" s="47"/>
      <c r="G39" s="47"/>
      <c r="H39" s="47"/>
      <c r="I39" s="47"/>
    </row>
    <row r="40" customFormat="false" ht="36" hidden="false" customHeight="true" outlineLevel="0" collapsed="false">
      <c r="A40" s="180"/>
      <c r="B40" s="19"/>
      <c r="C40" s="47"/>
      <c r="D40" s="47"/>
      <c r="E40" s="47"/>
      <c r="F40" s="47"/>
      <c r="G40" s="47"/>
      <c r="H40" s="47"/>
      <c r="I40" s="47"/>
    </row>
    <row r="41" customFormat="false" ht="16.4" hidden="false" customHeight="false" outlineLevel="0" collapsed="false">
      <c r="A41" s="180"/>
      <c r="B41" s="84" t="s">
        <v>273</v>
      </c>
      <c r="C41" s="88" t="s">
        <v>293</v>
      </c>
      <c r="D41" s="183" t="n">
        <f aca="false">1/('INSERÇÃO-DE-DADOS_PRODUTIVIDADE'!J15*'INSERÇÃO-DE-DADOS_PRODUTIVIDADE'!P17)</f>
        <v>0.000555555555555556</v>
      </c>
      <c r="E41" s="194" t="n">
        <f aca="false">'INSERÇÃO-DE-DADOS_PRODUTIVIDADE'!P15</f>
        <v>16</v>
      </c>
      <c r="F41" s="195" t="n">
        <f aca="false">1/((DIAS_NO_MES/DIAS_NA_SEMANA)*CARGA_HORARIA_SEMANAL)</f>
        <v>0.0053030303030303</v>
      </c>
      <c r="G41" s="195" t="n">
        <f aca="false">D41*E41*F41</f>
        <v>4.71380471380471E-005</v>
      </c>
      <c r="H41" s="184" t="n">
        <f aca="false">ENCARREGADO!VALOR_TOTAL_ENC</f>
        <v>2980.68408214935</v>
      </c>
      <c r="I41" s="184" t="n">
        <f aca="false">G41*H41</f>
        <v>0.140503626767983</v>
      </c>
      <c r="J41" s="196"/>
    </row>
    <row r="42" customFormat="false" ht="16.4" hidden="false" customHeight="false" outlineLevel="0" collapsed="false">
      <c r="A42" s="180"/>
      <c r="B42" s="84"/>
      <c r="C42" s="88" t="s">
        <v>294</v>
      </c>
      <c r="D42" s="183" t="n">
        <f aca="false">1/('INSERÇÃO-DE-DADOS_PRODUTIVIDADE'!J16*'INSERÇÃO-DE-DADOS_PRODUTIVIDADE'!P17)</f>
        <v>0.000555555555555556</v>
      </c>
      <c r="E42" s="194" t="n">
        <f aca="false">'INSERÇÃO-DE-DADOS_PRODUTIVIDADE'!P16</f>
        <v>16</v>
      </c>
      <c r="F42" s="195" t="n">
        <f aca="false">1/((DIAS_NO_MES/DIAS_NA_SEMANA)*CARGA_HORARIA_SEMANAL)</f>
        <v>0.0053030303030303</v>
      </c>
      <c r="G42" s="195" t="n">
        <f aca="false">D42*E42*F42</f>
        <v>4.71380471380471E-005</v>
      </c>
      <c r="H42" s="184" t="n">
        <f aca="false">ENCARREGADO!VALOR_TOTAL_ENC</f>
        <v>2980.68408214935</v>
      </c>
      <c r="I42" s="184" t="n">
        <f aca="false">G42*H42</f>
        <v>0.140503626767983</v>
      </c>
    </row>
    <row r="43" customFormat="false" ht="16.4" hidden="false" customHeight="false" outlineLevel="0" collapsed="false">
      <c r="A43" s="180"/>
      <c r="B43" s="84" t="s">
        <v>275</v>
      </c>
      <c r="C43" s="88" t="s">
        <v>293</v>
      </c>
      <c r="D43" s="183" t="n">
        <f aca="false">1/'INSERÇÃO-DE-DADOS_PRODUTIVIDADE'!J15</f>
        <v>0.00333333333333333</v>
      </c>
      <c r="E43" s="194" t="n">
        <f aca="false">'INSERÇÃO-DE-DADOS_PRODUTIVIDADE'!P15</f>
        <v>16</v>
      </c>
      <c r="F43" s="195" t="n">
        <f aca="false">1/((DIAS_NO_MES/DIAS_NA_SEMANA)*CARGA_HORARIA_SEMANAL)</f>
        <v>0.0053030303030303</v>
      </c>
      <c r="G43" s="195" t="n">
        <f aca="false">D43*E43*F43</f>
        <v>0.000282828282828283</v>
      </c>
      <c r="H43" s="184" t="n">
        <f aca="false">VALOR_TOTAL_SERV</f>
        <v>3235.4974285273</v>
      </c>
      <c r="I43" s="184" t="n">
        <f aca="false">G43*H43</f>
        <v>0.915090181805701</v>
      </c>
      <c r="J43" s="196"/>
    </row>
    <row r="44" customFormat="false" ht="16.4" hidden="false" customHeight="false" outlineLevel="0" collapsed="false">
      <c r="A44" s="180"/>
      <c r="B44" s="84"/>
      <c r="C44" s="88" t="s">
        <v>294</v>
      </c>
      <c r="D44" s="183" t="n">
        <f aca="false">1/'INSERÇÃO-DE-DADOS_PRODUTIVIDADE'!J16</f>
        <v>0.00333333333333333</v>
      </c>
      <c r="E44" s="194" t="n">
        <f aca="false">'INSERÇÃO-DE-DADOS_PRODUTIVIDADE'!P16</f>
        <v>16</v>
      </c>
      <c r="F44" s="195" t="n">
        <f aca="false">1/((DIAS_NO_MES/DIAS_NA_SEMANA)*CARGA_HORARIA_SEMANAL)</f>
        <v>0.0053030303030303</v>
      </c>
      <c r="G44" s="195" t="n">
        <f aca="false">D44*E44*F44</f>
        <v>0.000282828282828283</v>
      </c>
      <c r="H44" s="184" t="n">
        <f aca="false">VALOR_TOTAL_SERV</f>
        <v>3235.4974285273</v>
      </c>
      <c r="I44" s="184" t="n">
        <f aca="false">G44*H44</f>
        <v>0.915090181805701</v>
      </c>
    </row>
    <row r="45" customFormat="false" ht="14.9" hidden="false" customHeight="true" outlineLevel="0" collapsed="false">
      <c r="A45" s="180"/>
      <c r="B45" s="197" t="s">
        <v>295</v>
      </c>
      <c r="C45" s="197"/>
      <c r="D45" s="197"/>
      <c r="E45" s="197"/>
      <c r="F45" s="197"/>
      <c r="G45" s="197"/>
      <c r="H45" s="197"/>
      <c r="I45" s="198" t="n">
        <f aca="false">I41+I43</f>
        <v>1.05559380857368</v>
      </c>
    </row>
    <row r="46" customFormat="false" ht="14.9" hidden="false" customHeight="true" outlineLevel="0" collapsed="false">
      <c r="A46" s="180"/>
      <c r="B46" s="197" t="s">
        <v>296</v>
      </c>
      <c r="C46" s="197"/>
      <c r="D46" s="197"/>
      <c r="E46" s="197"/>
      <c r="F46" s="197"/>
      <c r="G46" s="197"/>
      <c r="H46" s="197"/>
      <c r="I46" s="198" t="n">
        <f aca="false">I42+I44</f>
        <v>1.05559380857368</v>
      </c>
    </row>
    <row r="47" customFormat="false" ht="10.25" hidden="false" customHeight="true" outlineLevel="0" collapsed="false">
      <c r="A47" s="180"/>
      <c r="B47" s="182"/>
      <c r="C47" s="188"/>
      <c r="D47" s="189"/>
      <c r="E47" s="189"/>
      <c r="F47" s="189"/>
      <c r="G47" s="189"/>
      <c r="H47" s="189"/>
      <c r="I47" s="189"/>
    </row>
    <row r="48" customFormat="false" ht="9" hidden="false" customHeight="true" outlineLevel="0" collapsed="false">
      <c r="B48" s="182"/>
      <c r="C48" s="188"/>
      <c r="D48" s="189"/>
      <c r="E48" s="189"/>
      <c r="F48" s="189"/>
      <c r="G48" s="193"/>
      <c r="H48" s="161"/>
    </row>
    <row r="49" s="191" customFormat="true" ht="13.5" hidden="false" customHeight="true" outlineLevel="0" collapsed="false">
      <c r="B49" s="199" t="s">
        <v>297</v>
      </c>
      <c r="C49" s="199"/>
      <c r="D49" s="199"/>
      <c r="E49" s="199"/>
      <c r="F49" s="199"/>
      <c r="G49" s="200"/>
      <c r="H49" s="201"/>
    </row>
    <row r="50" customFormat="false" ht="13.5" hidden="false" customHeight="true" outlineLevel="0" collapsed="false">
      <c r="B50" s="202"/>
      <c r="C50" s="202"/>
      <c r="D50" s="202"/>
      <c r="E50" s="202"/>
      <c r="F50" s="202"/>
      <c r="G50" s="203"/>
      <c r="I50" s="166"/>
    </row>
    <row r="51" s="166" customFormat="true" ht="14.25" hidden="false" customHeight="true" outlineLevel="0" collapsed="false">
      <c r="B51" s="47" t="s">
        <v>269</v>
      </c>
      <c r="C51" s="47"/>
      <c r="D51" s="47" t="s">
        <v>298</v>
      </c>
      <c r="E51" s="47" t="s">
        <v>299</v>
      </c>
      <c r="F51" s="47"/>
      <c r="G51" s="47"/>
      <c r="H51" s="47" t="s">
        <v>300</v>
      </c>
    </row>
    <row r="52" s="166" customFormat="true" ht="18" hidden="false" customHeight="true" outlineLevel="0" collapsed="false">
      <c r="B52" s="47"/>
      <c r="C52" s="47"/>
      <c r="D52" s="47"/>
      <c r="E52" s="47"/>
      <c r="F52" s="47"/>
      <c r="G52" s="47"/>
      <c r="H52" s="47"/>
    </row>
    <row r="53" customFormat="false" ht="31.3" hidden="false" customHeight="false" outlineLevel="0" collapsed="false">
      <c r="B53" s="47"/>
      <c r="C53" s="47"/>
      <c r="D53" s="47" t="s">
        <v>135</v>
      </c>
      <c r="E53" s="47" t="s">
        <v>273</v>
      </c>
      <c r="F53" s="47" t="s">
        <v>275</v>
      </c>
      <c r="G53" s="47" t="s">
        <v>301</v>
      </c>
      <c r="H53" s="47" t="s">
        <v>302</v>
      </c>
      <c r="I53" s="204"/>
    </row>
    <row r="54" customFormat="false" ht="16.4" hidden="false" customHeight="false" outlineLevel="0" collapsed="false">
      <c r="B54" s="84" t="s">
        <v>303</v>
      </c>
      <c r="C54" s="88" t="s">
        <v>274</v>
      </c>
      <c r="D54" s="205" t="n">
        <f aca="false">'INSERÇÃO-DE-DADOS_PRODUTIVIDADE'!D9</f>
        <v>3593.54</v>
      </c>
      <c r="E54" s="206" t="n">
        <f aca="false">F12</f>
        <v>0.620975850447781</v>
      </c>
      <c r="F54" s="206" t="n">
        <f aca="false">F13</f>
        <v>4.04437178565912</v>
      </c>
      <c r="G54" s="206" t="n">
        <f aca="false">E54+F54</f>
        <v>4.6653476361069</v>
      </c>
      <c r="H54" s="207" t="n">
        <f aca="false">D54*G54</f>
        <v>16765.1133442556</v>
      </c>
      <c r="I54" s="204"/>
      <c r="J54" s="204"/>
    </row>
    <row r="55" customFormat="false" ht="16.4" hidden="false" customHeight="false" outlineLevel="0" collapsed="false">
      <c r="B55" s="84"/>
      <c r="C55" s="88" t="s">
        <v>277</v>
      </c>
      <c r="D55" s="205" t="n">
        <f aca="false">'INSERÇÃO-DE-DADOS_PRODUTIVIDADE'!D10</f>
        <v>37.06</v>
      </c>
      <c r="E55" s="206" t="n">
        <f aca="false">F15</f>
        <v>0.331187120238816</v>
      </c>
      <c r="F55" s="206" t="n">
        <f aca="false">F16</f>
        <v>2.15699828568487</v>
      </c>
      <c r="G55" s="206" t="n">
        <f aca="false">E55+F55</f>
        <v>2.48818540592368</v>
      </c>
      <c r="H55" s="207" t="n">
        <f aca="false">D55*G55</f>
        <v>92.2121511435317</v>
      </c>
      <c r="I55" s="204"/>
      <c r="J55" s="204"/>
    </row>
    <row r="56" customFormat="false" ht="16.4" hidden="false" customHeight="false" outlineLevel="0" collapsed="false">
      <c r="B56" s="84"/>
      <c r="C56" s="88" t="s">
        <v>279</v>
      </c>
      <c r="D56" s="205" t="n">
        <f aca="false">'INSERÇÃO-DE-DADOS_PRODUTIVIDADE'!D11</f>
        <v>116.45</v>
      </c>
      <c r="E56" s="206" t="n">
        <f aca="false">F18</f>
        <v>2.48390340179112</v>
      </c>
      <c r="F56" s="206" t="n">
        <f aca="false">F19</f>
        <v>16.1774871426365</v>
      </c>
      <c r="G56" s="206" t="n">
        <f aca="false">E56+F56</f>
        <v>18.6613905444276</v>
      </c>
      <c r="H56" s="207" t="n">
        <f aca="false">D56*G56</f>
        <v>2173.11892889859</v>
      </c>
      <c r="I56" s="204"/>
      <c r="J56" s="204"/>
    </row>
    <row r="57" customFormat="false" ht="16.4" hidden="false" customHeight="false" outlineLevel="0" collapsed="false">
      <c r="B57" s="84" t="s">
        <v>304</v>
      </c>
      <c r="C57" s="88" t="s">
        <v>282</v>
      </c>
      <c r="D57" s="205" t="n">
        <f aca="false">'INSERÇÃO-DE-DADOS_PRODUTIVIDADE'!D12</f>
        <v>176.15</v>
      </c>
      <c r="E57" s="205" t="n">
        <f aca="false">F26</f>
        <v>0.275989266865681</v>
      </c>
      <c r="F57" s="205" t="n">
        <f aca="false">F27</f>
        <v>1.79749857140406</v>
      </c>
      <c r="G57" s="206" t="n">
        <f aca="false">E57+F57</f>
        <v>2.07348783826974</v>
      </c>
      <c r="H57" s="207" t="n">
        <f aca="false">D57*G57</f>
        <v>365.244882711214</v>
      </c>
      <c r="I57" s="204"/>
      <c r="J57" s="204"/>
    </row>
    <row r="58" customFormat="false" ht="46.25" hidden="false" customHeight="false" outlineLevel="0" collapsed="false">
      <c r="B58" s="84"/>
      <c r="C58" s="88" t="s">
        <v>284</v>
      </c>
      <c r="D58" s="205" t="n">
        <f aca="false">'INSERÇÃO-DE-DADOS_PRODUTIVIDADE'!D13</f>
        <v>2814.91</v>
      </c>
      <c r="E58" s="205" t="n">
        <f aca="false">F29</f>
        <v>0.0827967800597043</v>
      </c>
      <c r="F58" s="205" t="n">
        <f aca="false">F30</f>
        <v>0.539249571421218</v>
      </c>
      <c r="G58" s="206" t="n">
        <f aca="false">E58+F58</f>
        <v>0.622046351480922</v>
      </c>
      <c r="H58" s="207" t="n">
        <f aca="false">D58*G58</f>
        <v>1751.00449524716</v>
      </c>
      <c r="I58" s="204"/>
      <c r="J58" s="204"/>
    </row>
    <row r="59" customFormat="false" ht="16.4" hidden="false" customHeight="false" outlineLevel="0" collapsed="false">
      <c r="B59" s="84"/>
      <c r="C59" s="88" t="s">
        <v>286</v>
      </c>
      <c r="D59" s="205" t="n">
        <f aca="false">'INSERÇÃO-DE-DADOS_PRODUTIVIDADE'!D14</f>
        <v>237.53</v>
      </c>
      <c r="E59" s="205" t="n">
        <f aca="false">F32</f>
        <v>0.275989266865681</v>
      </c>
      <c r="F59" s="205" t="n">
        <f aca="false">F33</f>
        <v>1.79749857140406</v>
      </c>
      <c r="G59" s="206" t="n">
        <f aca="false">E59+F59</f>
        <v>2.07348783826974</v>
      </c>
      <c r="H59" s="207" t="n">
        <f aca="false">D59*G59</f>
        <v>492.515566224211</v>
      </c>
      <c r="I59" s="204"/>
      <c r="J59" s="204"/>
    </row>
    <row r="60" customFormat="false" ht="16.4" hidden="false" customHeight="false" outlineLevel="0" collapsed="false">
      <c r="B60" s="84" t="s">
        <v>305</v>
      </c>
      <c r="C60" s="88" t="s">
        <v>293</v>
      </c>
      <c r="D60" s="205" t="n">
        <f aca="false">'INSERÇÃO-DE-DADOS_PRODUTIVIDADE'!D15</f>
        <v>358.43</v>
      </c>
      <c r="E60" s="206" t="n">
        <f aca="false">I41</f>
        <v>0.140503626767983</v>
      </c>
      <c r="F60" s="206" t="n">
        <f aca="false">CUSTO_M2_ESQ_EXTERNA_SERV</f>
        <v>0.915090181805701</v>
      </c>
      <c r="G60" s="206" t="n">
        <f aca="false">E60+F60</f>
        <v>1.05559380857368</v>
      </c>
      <c r="H60" s="207" t="n">
        <f aca="false">D60*G60</f>
        <v>378.356488807066</v>
      </c>
      <c r="I60" s="204"/>
      <c r="J60" s="204"/>
    </row>
    <row r="61" customFormat="false" ht="16.4" hidden="false" customHeight="false" outlineLevel="0" collapsed="false">
      <c r="B61" s="84"/>
      <c r="C61" s="88" t="s">
        <v>294</v>
      </c>
      <c r="D61" s="205" t="n">
        <f aca="false">'INSERÇÃO-DE-DADOS_PRODUTIVIDADE'!D16</f>
        <v>358.43</v>
      </c>
      <c r="E61" s="206" t="n">
        <f aca="false">I42</f>
        <v>0.140503626767983</v>
      </c>
      <c r="F61" s="206" t="n">
        <f aca="false">I44</f>
        <v>0.915090181805701</v>
      </c>
      <c r="G61" s="206" t="n">
        <f aca="false">E61+F61</f>
        <v>1.05559380857368</v>
      </c>
      <c r="H61" s="207" t="n">
        <f aca="false">D61*G61</f>
        <v>378.356488807066</v>
      </c>
      <c r="I61" s="204"/>
      <c r="J61" s="204"/>
    </row>
    <row r="62" customFormat="false" ht="13.8" hidden="false" customHeight="false" outlineLevel="0" collapsed="false">
      <c r="B62" s="208" t="s">
        <v>306</v>
      </c>
      <c r="C62" s="208"/>
      <c r="D62" s="208"/>
      <c r="E62" s="208"/>
      <c r="F62" s="208"/>
      <c r="G62" s="208"/>
      <c r="H62" s="209" t="n">
        <f aca="false">SUM(H54:H61)</f>
        <v>22395.9223460944</v>
      </c>
      <c r="I62" s="204"/>
      <c r="J62" s="204"/>
    </row>
    <row r="63" customFormat="false" ht="13.8" hidden="false" customHeight="false" outlineLevel="0" collapsed="false">
      <c r="J63" s="204"/>
    </row>
    <row r="64" s="191" customFormat="true" ht="13.5" hidden="false" customHeight="true" outlineLevel="0" collapsed="false">
      <c r="C64" s="210"/>
    </row>
    <row r="65" customFormat="false" ht="13.5" hidden="false" customHeight="true" outlineLevel="0" collapsed="false">
      <c r="I65" s="166"/>
    </row>
    <row r="66" customFormat="false" ht="14.25" hidden="false" customHeight="true" outlineLevel="0" collapsed="false">
      <c r="I66" s="166"/>
    </row>
    <row r="67" customFormat="false" ht="13.8" hidden="false" customHeight="false" outlineLevel="0" collapsed="false">
      <c r="I67" s="166"/>
    </row>
    <row r="68" customFormat="false" ht="13.8" hidden="false" customHeight="false" outlineLevel="0" collapsed="false">
      <c r="I68" s="166"/>
    </row>
    <row r="69" customFormat="false" ht="13.8" hidden="false" customHeight="false" outlineLevel="0" collapsed="false">
      <c r="I69" s="166"/>
    </row>
    <row r="70" customFormat="false" ht="36" hidden="false" customHeight="true" outlineLevel="0" collapsed="false">
      <c r="I70" s="166"/>
    </row>
    <row r="71" customFormat="false" ht="13.8" hidden="false" customHeight="false" outlineLevel="0" collapsed="false">
      <c r="I71" s="166"/>
    </row>
    <row r="72" customFormat="false" ht="49.5" hidden="false" customHeight="true" outlineLevel="0" collapsed="false">
      <c r="I72" s="166"/>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5">
    <mergeCell ref="B1:I1"/>
    <mergeCell ref="B2:G2"/>
    <mergeCell ref="B4:I4"/>
    <mergeCell ref="B5:I5"/>
    <mergeCell ref="B7:I7"/>
    <mergeCell ref="B8:I9"/>
    <mergeCell ref="B10:B11"/>
    <mergeCell ref="C10:C11"/>
    <mergeCell ref="D10:D11"/>
    <mergeCell ref="E10:E11"/>
    <mergeCell ref="F10:F11"/>
    <mergeCell ref="B14:E14"/>
    <mergeCell ref="B17:E17"/>
    <mergeCell ref="B20:E20"/>
    <mergeCell ref="B22:I23"/>
    <mergeCell ref="B24:B25"/>
    <mergeCell ref="C24:C25"/>
    <mergeCell ref="D24:D25"/>
    <mergeCell ref="E24:E25"/>
    <mergeCell ref="F24:F25"/>
    <mergeCell ref="B28:E28"/>
    <mergeCell ref="B31:E31"/>
    <mergeCell ref="B34:E34"/>
    <mergeCell ref="B36:I37"/>
    <mergeCell ref="B38:B40"/>
    <mergeCell ref="C38:C40"/>
    <mergeCell ref="D38:D40"/>
    <mergeCell ref="E38:E40"/>
    <mergeCell ref="F38:F40"/>
    <mergeCell ref="G38:G40"/>
    <mergeCell ref="H38:H40"/>
    <mergeCell ref="I38:I40"/>
    <mergeCell ref="B41:B42"/>
    <mergeCell ref="B43:B44"/>
    <mergeCell ref="B45:H45"/>
    <mergeCell ref="B46:H46"/>
    <mergeCell ref="B49:F49"/>
    <mergeCell ref="B51:C53"/>
    <mergeCell ref="D51:D52"/>
    <mergeCell ref="E51:G52"/>
    <mergeCell ref="H51:H52"/>
    <mergeCell ref="B54:B56"/>
    <mergeCell ref="B57:B59"/>
    <mergeCell ref="B60:B61"/>
    <mergeCell ref="B62:G62"/>
  </mergeCells>
  <printOptions headings="false" gridLines="false" gridLinesSet="true" horizontalCentered="false" verticalCentered="false"/>
  <pageMargins left="0.511805555555555" right="0.511805555555555" top="0.7875" bottom="0.7875" header="0.511805555555555" footer="0.511805555555555"/>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false"/>
  </sheetPr>
  <dimension ref="B1:N1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6.5" zeroHeight="false" outlineLevelRow="0" outlineLevelCol="0"/>
  <cols>
    <col collapsed="false" customWidth="true" hidden="false" outlineLevel="0" max="1" min="1" style="1" width="2.71"/>
    <col collapsed="false" customWidth="true" hidden="false" outlineLevel="0" max="2" min="2" style="1" width="8.86"/>
    <col collapsed="false" customWidth="true" hidden="false" outlineLevel="0" max="3" min="3" style="1" width="52.58"/>
    <col collapsed="false" customWidth="true" hidden="false" outlineLevel="0" max="4" min="4" style="1" width="7.87"/>
    <col collapsed="false" customWidth="true" hidden="false" outlineLevel="0" max="5" min="5" style="1" width="13.57"/>
    <col collapsed="false" customWidth="true" hidden="false" outlineLevel="0" max="6" min="6" style="1" width="15.42"/>
    <col collapsed="false" customWidth="true" hidden="false" outlineLevel="0" max="7" min="7" style="1" width="9.13"/>
    <col collapsed="false" customWidth="true" hidden="false" outlineLevel="0" max="8" min="8" style="161" width="18.85"/>
    <col collapsed="false" customWidth="true" hidden="false" outlineLevel="0" max="9" min="9" style="161" width="14.86"/>
    <col collapsed="false" customWidth="true" hidden="false" outlineLevel="0" max="10" min="10" style="161" width="12.71"/>
    <col collapsed="false" customWidth="true" hidden="false" outlineLevel="0" max="11" min="11" style="161" width="14.01"/>
    <col collapsed="false" customWidth="true" hidden="false" outlineLevel="0" max="12" min="12" style="162" width="13.7"/>
    <col collapsed="false" customWidth="true" hidden="false" outlineLevel="0" max="13" min="13" style="162" width="9.42"/>
    <col collapsed="false" customWidth="true" hidden="false" outlineLevel="0" max="14" min="14" style="162" width="12.86"/>
    <col collapsed="false" customWidth="true" hidden="false" outlineLevel="0" max="1025" min="15" style="1" width="9.13"/>
  </cols>
  <sheetData>
    <row r="1" s="1" customFormat="true" ht="20.25" hidden="false" customHeight="false" outlineLevel="0" collapsed="false">
      <c r="B1" s="114" t="str">
        <f aca="false">RAMO</f>
        <v>RAMO: MINISTÉRIO PÚBLICO FEDERAL</v>
      </c>
      <c r="C1" s="114"/>
      <c r="D1" s="114"/>
      <c r="E1" s="114"/>
      <c r="F1" s="114"/>
    </row>
    <row r="2" s="1" customFormat="true" ht="20.25" hidden="false" customHeight="false" outlineLevel="0" collapsed="false">
      <c r="B2" s="115" t="str">
        <f aca="false">UG</f>
        <v>UNIDADE GESTORA (SIGLA): PRMS</v>
      </c>
      <c r="C2" s="115"/>
      <c r="D2" s="115"/>
      <c r="E2" s="116" t="s">
        <v>2</v>
      </c>
      <c r="F2" s="117" t="str">
        <f aca="false">IF(DATA_DO_ORCAMENTO_ESTIMATIVO="","",DATA_DO_ORCAMENTO_ESTIMATIVO)</f>
        <v/>
      </c>
    </row>
    <row r="3" s="3" customFormat="true" ht="25.5" hidden="false" customHeight="false" outlineLevel="0" collapsed="false">
      <c r="B3" s="6" t="s">
        <v>307</v>
      </c>
      <c r="C3" s="6"/>
      <c r="D3" s="6"/>
      <c r="E3" s="6"/>
      <c r="F3" s="6"/>
    </row>
    <row r="4" s="3" customFormat="true" ht="15.95" hidden="false" customHeight="true" outlineLevel="0" collapsed="false">
      <c r="B4" s="7" t="s">
        <v>4</v>
      </c>
      <c r="C4" s="7"/>
      <c r="D4" s="7"/>
      <c r="E4" s="7"/>
      <c r="F4" s="7"/>
    </row>
    <row r="5" s="3" customFormat="true" ht="15.95" hidden="false" customHeight="true" outlineLevel="0" collapsed="false">
      <c r="B5" s="8" t="s">
        <v>239</v>
      </c>
      <c r="C5" s="8"/>
      <c r="D5" s="24" t="str">
        <f aca="false">NUMERO_PROCESSO</f>
        <v>1.21.000.000696/2019-15</v>
      </c>
      <c r="E5" s="24"/>
      <c r="F5" s="24"/>
    </row>
    <row r="6" s="3" customFormat="true" ht="15.75" hidden="false" customHeight="true" outlineLevel="0" collapsed="false">
      <c r="B6" s="10" t="s">
        <v>240</v>
      </c>
      <c r="C6" s="10"/>
      <c r="D6" s="118" t="str">
        <f aca="false">MODALIDADE_DE_LICITACAO</f>
        <v>Pregão nº</v>
      </c>
      <c r="E6" s="118"/>
      <c r="F6" s="119" t="str">
        <f aca="false">NUMERO_PREGAO</f>
        <v>03/2019</v>
      </c>
    </row>
    <row r="7" s="13" customFormat="true" ht="15.75" hidden="false" customHeight="true" outlineLevel="0" collapsed="false">
      <c r="B7" s="120" t="s">
        <v>241</v>
      </c>
      <c r="C7" s="120"/>
      <c r="D7" s="120"/>
      <c r="E7" s="120"/>
      <c r="F7" s="120"/>
    </row>
    <row r="8" s="3" customFormat="true" ht="18" hidden="false" customHeight="true" outlineLevel="0" collapsed="false">
      <c r="B8" s="17" t="s">
        <v>14</v>
      </c>
      <c r="C8" s="8" t="s">
        <v>15</v>
      </c>
      <c r="D8" s="8"/>
      <c r="E8" s="8"/>
      <c r="F8" s="121" t="str">
        <f aca="false">DATA_APRESENTACAO_PROPOSTA</f>
        <v>XX/XX/20XX</v>
      </c>
    </row>
    <row r="9" s="3" customFormat="true" ht="15.95" hidden="false" customHeight="true" outlineLevel="0" collapsed="false">
      <c r="B9" s="19" t="s">
        <v>17</v>
      </c>
      <c r="C9" s="20" t="s">
        <v>18</v>
      </c>
      <c r="D9" s="101" t="str">
        <f aca="false">IF(LOCAL_DE_EXECUCAO="","",LOCAL_DE_EXECUCAO)</f>
        <v/>
      </c>
      <c r="E9" s="101"/>
      <c r="F9" s="101"/>
    </row>
    <row r="10" s="3" customFormat="true" ht="18.75" hidden="false" customHeight="true" outlineLevel="0" collapsed="false">
      <c r="B10" s="17" t="s">
        <v>19</v>
      </c>
      <c r="C10" s="8" t="s">
        <v>23</v>
      </c>
      <c r="D10" s="8"/>
      <c r="E10" s="8"/>
      <c r="F10" s="122" t="str">
        <f aca="false">ACORDO_COLETIVO</f>
        <v>01/2019</v>
      </c>
    </row>
    <row r="11" s="3" customFormat="true" ht="15.95" hidden="false" customHeight="true" outlineLevel="0" collapsed="false">
      <c r="B11" s="19" t="s">
        <v>22</v>
      </c>
      <c r="C11" s="101" t="s">
        <v>26</v>
      </c>
      <c r="D11" s="101"/>
      <c r="E11" s="101"/>
      <c r="F11" s="57" t="n">
        <f aca="false">NUMERO_MESES_EXEC_CONTRATUAL</f>
        <v>12</v>
      </c>
    </row>
    <row r="12" s="3" customFormat="true" ht="16.5" hidden="false" customHeight="false" outlineLevel="0" collapsed="false">
      <c r="B12" s="19" t="s">
        <v>25</v>
      </c>
      <c r="C12" s="123" t="s">
        <v>262</v>
      </c>
      <c r="D12" s="123"/>
      <c r="E12" s="123"/>
      <c r="F12" s="24" t="n">
        <f aca="false">IF(QTDE_DE_SERV=0,"",QTDE_DE_SERV)</f>
        <v>6</v>
      </c>
    </row>
    <row r="13" s="124" customFormat="true" ht="15" hidden="false" customHeight="true" outlineLevel="0" collapsed="false">
      <c r="B13" s="125" t="s">
        <v>47</v>
      </c>
      <c r="C13" s="126"/>
      <c r="D13" s="126"/>
      <c r="E13" s="126"/>
      <c r="F13" s="126"/>
    </row>
    <row r="14" s="3" customFormat="true" ht="16.5" hidden="false" customHeight="false" outlineLevel="0" collapsed="false">
      <c r="B14" s="17" t="n">
        <v>1</v>
      </c>
      <c r="C14" s="8" t="s">
        <v>41</v>
      </c>
      <c r="D14" s="8"/>
      <c r="E14" s="24" t="str">
        <f aca="false">TIPO_DE_SERVICO</f>
        <v>Limpeza e Conservação</v>
      </c>
      <c r="F14" s="24"/>
    </row>
    <row r="15" s="13" customFormat="true" ht="16.5" hidden="false" customHeight="false" outlineLevel="0" collapsed="false">
      <c r="B15" s="17" t="n">
        <v>2</v>
      </c>
      <c r="C15" s="37" t="s">
        <v>43</v>
      </c>
      <c r="D15" s="57" t="str">
        <f aca="false">CBO</f>
        <v>5143-20</v>
      </c>
      <c r="E15" s="57"/>
      <c r="F15" s="57"/>
    </row>
    <row r="16" s="3" customFormat="true" ht="15" hidden="false" customHeight="true" outlineLevel="0" collapsed="false">
      <c r="B16" s="17" t="n">
        <v>3</v>
      </c>
      <c r="C16" s="127" t="s">
        <v>243</v>
      </c>
      <c r="D16" s="24" t="str">
        <f aca="false">'INSERÇÃO-DE-DADOS_MÃO DE OBRA'!C21</f>
        <v>Servente Unidades do interior</v>
      </c>
      <c r="E16" s="24"/>
      <c r="F16" s="24"/>
    </row>
    <row r="17" s="3" customFormat="true" ht="15" hidden="false" customHeight="true" outlineLevel="0" collapsed="false">
      <c r="B17" s="17" t="n">
        <v>4</v>
      </c>
      <c r="C17" s="10" t="s">
        <v>45</v>
      </c>
      <c r="D17" s="10"/>
      <c r="E17" s="10"/>
      <c r="F17" s="163" t="n">
        <f aca="false">DATA_BASE_CATEGORIA</f>
        <v>43466</v>
      </c>
    </row>
    <row r="18" s="130" customFormat="true" ht="20.25" hidden="false" customHeight="true" outlineLevel="0" collapsed="false">
      <c r="B18" s="131" t="s">
        <v>244</v>
      </c>
      <c r="C18" s="131"/>
      <c r="D18" s="131"/>
      <c r="E18" s="131"/>
      <c r="F18" s="131"/>
    </row>
    <row r="19" customFormat="false" ht="16.5" hidden="false" customHeight="false" outlineLevel="0" collapsed="false">
      <c r="B19" s="44" t="s">
        <v>48</v>
      </c>
      <c r="E19" s="45"/>
      <c r="F19" s="45"/>
    </row>
    <row r="20" customFormat="false" ht="16.5" hidden="false" customHeight="true" outlineLevel="0" collapsed="false">
      <c r="B20" s="19" t="n">
        <v>1</v>
      </c>
      <c r="C20" s="46" t="s">
        <v>49</v>
      </c>
      <c r="D20" s="46"/>
      <c r="E20" s="46"/>
      <c r="F20" s="47" t="s">
        <v>98</v>
      </c>
    </row>
    <row r="21" customFormat="false" ht="16.5" hidden="false" customHeight="true" outlineLevel="0" collapsed="false">
      <c r="B21" s="19" t="s">
        <v>14</v>
      </c>
      <c r="C21" s="65" t="s">
        <v>245</v>
      </c>
      <c r="D21" s="65"/>
      <c r="E21" s="65"/>
      <c r="F21" s="132" t="n">
        <f aca="false">SALARIO_NORMATIVO_SERV</f>
        <v>1032</v>
      </c>
    </row>
    <row r="22" s="1" customFormat="true" ht="16.5" hidden="false" customHeight="true" outlineLevel="0" collapsed="false">
      <c r="B22" s="19" t="s">
        <v>17</v>
      </c>
      <c r="C22" s="23" t="s">
        <v>246</v>
      </c>
      <c r="D22" s="23"/>
      <c r="E22" s="23"/>
      <c r="F22" s="133" t="n">
        <f aca="false">IF(ADIC_INSALUB_SERV="SIM",PERC_ADIC_INSALUB%*SAL_MINIMO,0)</f>
        <v>0</v>
      </c>
    </row>
    <row r="23" customFormat="false" ht="16.4" hidden="false" customHeight="false" outlineLevel="0" collapsed="false">
      <c r="B23" s="19" t="s">
        <v>19</v>
      </c>
      <c r="C23" s="65" t="str">
        <f aca="false">OUTROS_REMUNERACAO_1_DESCRICAO</f>
        <v>Gratificação de função (Apenas para encarregada)</v>
      </c>
      <c r="D23" s="65"/>
      <c r="E23" s="65"/>
      <c r="F23" s="132" t="n">
        <f aca="false">OUTROS_REMUNERACAO_1-'INSERÇÃO-DE-DADOS_MÃO DE OBRA'!F33</f>
        <v>0</v>
      </c>
    </row>
    <row r="24" customFormat="false" ht="15.75" hidden="false" customHeight="true" outlineLevel="0" collapsed="false">
      <c r="B24" s="19" t="s">
        <v>22</v>
      </c>
      <c r="C24" s="48" t="str">
        <f aca="false">OUTROS_REMUNERACAO_2_DESCRICAO</f>
        <v>Outras Remunerações 2 (Especificar)</v>
      </c>
      <c r="D24" s="48"/>
      <c r="E24" s="48"/>
      <c r="F24" s="133" t="n">
        <f aca="false">OUTROS_REMUNERACAO_2</f>
        <v>0</v>
      </c>
    </row>
    <row r="25" customFormat="false" ht="15.75" hidden="false" customHeight="true" outlineLevel="0" collapsed="false">
      <c r="B25" s="19" t="s">
        <v>25</v>
      </c>
      <c r="C25" s="65" t="str">
        <f aca="false">OUTROS_REMUNERACAO_3_DESCRICAO</f>
        <v>Outras Remunerações 3 (Especificar)</v>
      </c>
      <c r="D25" s="65"/>
      <c r="E25" s="65"/>
      <c r="F25" s="132" t="n">
        <f aca="false">OUTROS_REMUNERACAO_3</f>
        <v>0</v>
      </c>
    </row>
    <row r="26" customFormat="false" ht="15.75" hidden="false" customHeight="true" outlineLevel="0" collapsed="false">
      <c r="B26" s="46" t="s">
        <v>215</v>
      </c>
      <c r="C26" s="46"/>
      <c r="D26" s="46"/>
      <c r="E26" s="46"/>
      <c r="F26" s="134" t="n">
        <f aca="false">SUM(F21:F25)</f>
        <v>1032</v>
      </c>
      <c r="L26" s="161"/>
      <c r="M26" s="161"/>
    </row>
    <row r="27" customFormat="false" ht="16.5" hidden="false" customHeight="false" outlineLevel="0" collapsed="false">
      <c r="B27" s="44" t="s">
        <v>55</v>
      </c>
      <c r="E27" s="53"/>
      <c r="F27" s="53"/>
      <c r="L27" s="161"/>
      <c r="M27" s="161"/>
    </row>
    <row r="28" customFormat="false" ht="16.5" hidden="false" customHeight="false" outlineLevel="0" collapsed="false">
      <c r="B28" s="44" t="s">
        <v>196</v>
      </c>
      <c r="C28" s="59"/>
      <c r="D28" s="60"/>
      <c r="E28" s="61"/>
      <c r="F28" s="61"/>
      <c r="L28" s="161"/>
      <c r="M28" s="161"/>
      <c r="N28" s="164"/>
    </row>
    <row r="29" customFormat="false" ht="16.5" hidden="false" customHeight="false" outlineLevel="0" collapsed="false">
      <c r="B29" s="19" t="s">
        <v>197</v>
      </c>
      <c r="C29" s="64" t="s">
        <v>198</v>
      </c>
      <c r="D29" s="64"/>
      <c r="E29" s="47" t="s">
        <v>86</v>
      </c>
      <c r="F29" s="47" t="s">
        <v>98</v>
      </c>
      <c r="L29" s="161"/>
      <c r="M29" s="161"/>
      <c r="N29" s="164"/>
    </row>
    <row r="30" customFormat="false" ht="16.5" hidden="false" customHeight="true" outlineLevel="0" collapsed="false">
      <c r="B30" s="19" t="s">
        <v>14</v>
      </c>
      <c r="C30" s="71" t="s">
        <v>200</v>
      </c>
      <c r="D30" s="71"/>
      <c r="E30" s="104" t="n">
        <f aca="false">PERC_DEC_TERC</f>
        <v>8.33333333333333</v>
      </c>
      <c r="F30" s="100" t="n">
        <f aca="false">PERC_DEC_TERC%*MOD_1_REMUNERACAO_SERV</f>
        <v>86</v>
      </c>
      <c r="L30" s="161"/>
      <c r="M30" s="161"/>
      <c r="N30" s="164"/>
    </row>
    <row r="31" customFormat="false" ht="16.5" hidden="false" customHeight="true" outlineLevel="0" collapsed="false">
      <c r="B31" s="47" t="s">
        <v>17</v>
      </c>
      <c r="C31" s="23" t="s">
        <v>202</v>
      </c>
      <c r="D31" s="23"/>
      <c r="E31" s="106" t="n">
        <f aca="false">PERC_ADIC_FERIAS</f>
        <v>2.77777777777778</v>
      </c>
      <c r="F31" s="102" t="n">
        <f aca="false">PERC_ADIC_FERIAS%*MOD_1_REMUNERACAO_SERV</f>
        <v>28.6666666666667</v>
      </c>
      <c r="L31" s="161"/>
      <c r="M31" s="161"/>
      <c r="N31" s="164"/>
    </row>
    <row r="32" customFormat="false" ht="16.5" hidden="false" customHeight="false" outlineLevel="0" collapsed="false">
      <c r="B32" s="64" t="s">
        <v>215</v>
      </c>
      <c r="C32" s="64"/>
      <c r="D32" s="64"/>
      <c r="E32" s="64"/>
      <c r="F32" s="135" t="n">
        <f aca="false">SUM(F30:F31)</f>
        <v>114.666666666667</v>
      </c>
      <c r="L32" s="161"/>
      <c r="M32" s="161"/>
    </row>
    <row r="33" customFormat="false" ht="31.6" hidden="false" customHeight="true" outlineLevel="0" collapsed="false">
      <c r="B33" s="136" t="s">
        <v>204</v>
      </c>
      <c r="C33" s="136"/>
      <c r="D33" s="136"/>
      <c r="E33" s="136"/>
      <c r="F33" s="136"/>
      <c r="L33" s="161"/>
      <c r="M33" s="161"/>
    </row>
    <row r="34" customFormat="false" ht="31.6" hidden="false" customHeight="true" outlineLevel="0" collapsed="false">
      <c r="B34" s="19" t="s">
        <v>205</v>
      </c>
      <c r="C34" s="108" t="s">
        <v>206</v>
      </c>
      <c r="D34" s="108"/>
      <c r="E34" s="47" t="s">
        <v>86</v>
      </c>
      <c r="F34" s="47" t="s">
        <v>98</v>
      </c>
      <c r="L34" s="161"/>
      <c r="M34" s="161"/>
    </row>
    <row r="35" s="105" customFormat="true" ht="16.5" hidden="false" customHeight="true" outlineLevel="0" collapsed="false">
      <c r="B35" s="19" t="s">
        <v>14</v>
      </c>
      <c r="C35" s="71" t="s">
        <v>207</v>
      </c>
      <c r="D35" s="71"/>
      <c r="E35" s="104" t="n">
        <f aca="false">PERC_INSS</f>
        <v>20</v>
      </c>
      <c r="F35" s="100" t="n">
        <f aca="false">PERC_INSS%*(MOD_1_REMUNERACAO_SERV+SUBMOD_2_1_DEC_TERC_ADIC_FERIAS_SERV)</f>
        <v>229.333333333333</v>
      </c>
      <c r="H35" s="161"/>
      <c r="I35" s="161"/>
      <c r="J35" s="161"/>
      <c r="K35" s="161"/>
      <c r="L35" s="161"/>
      <c r="M35" s="161"/>
      <c r="N35" s="162"/>
    </row>
    <row r="36" s="52" customFormat="true" ht="16.5" hidden="false" customHeight="true" outlineLevel="0" collapsed="false">
      <c r="B36" s="47" t="s">
        <v>17</v>
      </c>
      <c r="C36" s="23" t="s">
        <v>208</v>
      </c>
      <c r="D36" s="23"/>
      <c r="E36" s="109" t="n">
        <f aca="false">PERC_SAL_EDUCACAO</f>
        <v>2.5</v>
      </c>
      <c r="F36" s="102" t="n">
        <f aca="false">PERC_SAL_EDUCACAO%*(MOD_1_REMUNERACAO_SERV+SUBMOD_2_1_DEC_TERC_ADIC_FERIAS_SERV)</f>
        <v>28.6666666666667</v>
      </c>
      <c r="H36" s="161"/>
      <c r="I36" s="161"/>
      <c r="J36" s="161"/>
      <c r="K36" s="161"/>
      <c r="L36" s="161"/>
      <c r="M36" s="161"/>
      <c r="N36" s="162"/>
    </row>
    <row r="37" s="52" customFormat="true" ht="16.5" hidden="false" customHeight="true" outlineLevel="0" collapsed="false">
      <c r="B37" s="47" t="s">
        <v>19</v>
      </c>
      <c r="C37" s="71" t="s">
        <v>209</v>
      </c>
      <c r="D37" s="71"/>
      <c r="E37" s="104" t="n">
        <f aca="false">PERC_RAT</f>
        <v>3</v>
      </c>
      <c r="F37" s="100" t="n">
        <f aca="false">PERC_RAT%*(MOD_1_REMUNERACAO_SERV+SUBMOD_2_1_DEC_TERC_ADIC_FERIAS_SERV)</f>
        <v>34.4</v>
      </c>
      <c r="H37" s="161"/>
      <c r="I37" s="161"/>
      <c r="J37" s="161"/>
      <c r="K37" s="161"/>
      <c r="L37" s="161"/>
      <c r="M37" s="161"/>
      <c r="N37" s="162"/>
    </row>
    <row r="38" s="52" customFormat="true" ht="16.5" hidden="false" customHeight="true" outlineLevel="0" collapsed="false">
      <c r="B38" s="47" t="s">
        <v>22</v>
      </c>
      <c r="C38" s="23" t="s">
        <v>210</v>
      </c>
      <c r="D38" s="23"/>
      <c r="E38" s="106" t="n">
        <f aca="false">PERC_SESC</f>
        <v>1.5</v>
      </c>
      <c r="F38" s="102" t="n">
        <f aca="false">PERC_SESC%*(MOD_1_REMUNERACAO_SERV+SUBMOD_2_1_DEC_TERC_ADIC_FERIAS_SERV)</f>
        <v>17.2</v>
      </c>
      <c r="H38" s="161"/>
      <c r="I38" s="161"/>
      <c r="J38" s="161"/>
      <c r="K38" s="161"/>
      <c r="L38" s="161"/>
      <c r="M38" s="161"/>
      <c r="N38" s="162"/>
    </row>
    <row r="39" customFormat="false" ht="16.5" hidden="false" customHeight="true" outlineLevel="0" collapsed="false">
      <c r="B39" s="47" t="s">
        <v>25</v>
      </c>
      <c r="C39" s="71" t="s">
        <v>211</v>
      </c>
      <c r="D39" s="71"/>
      <c r="E39" s="104" t="n">
        <f aca="false">PERC_SENAC</f>
        <v>1</v>
      </c>
      <c r="F39" s="100" t="n">
        <f aca="false">PERC_SENAC%*(MOD_1_REMUNERACAO_SERV+SUBMOD_2_1_DEC_TERC_ADIC_FERIAS_SERV)</f>
        <v>11.4666666666667</v>
      </c>
      <c r="L39" s="161"/>
      <c r="M39" s="161"/>
    </row>
    <row r="40" s="3" customFormat="true" ht="16.5" hidden="false" customHeight="true" outlineLevel="0" collapsed="false">
      <c r="B40" s="47" t="s">
        <v>80</v>
      </c>
      <c r="C40" s="23" t="s">
        <v>212</v>
      </c>
      <c r="D40" s="23"/>
      <c r="E40" s="109" t="n">
        <f aca="false">PERC_SEBRAE</f>
        <v>0.6</v>
      </c>
      <c r="F40" s="102" t="n">
        <f aca="false">PERC_SEBRAE%*(MOD_1_REMUNERACAO_SERV+SUBMOD_2_1_DEC_TERC_ADIC_FERIAS_SERV)</f>
        <v>6.88</v>
      </c>
      <c r="H40" s="162"/>
      <c r="I40" s="162"/>
      <c r="J40" s="162"/>
      <c r="K40" s="162"/>
      <c r="L40" s="162"/>
      <c r="M40" s="162"/>
      <c r="N40" s="162"/>
    </row>
    <row r="41" s="3" customFormat="true" ht="16.5" hidden="false" customHeight="true" outlineLevel="0" collapsed="false">
      <c r="B41" s="47" t="s">
        <v>170</v>
      </c>
      <c r="C41" s="71" t="s">
        <v>213</v>
      </c>
      <c r="D41" s="71"/>
      <c r="E41" s="104" t="n">
        <f aca="false">PERC_INCRA</f>
        <v>0.2</v>
      </c>
      <c r="F41" s="100" t="n">
        <f aca="false">PERC_INCRA%*(MOD_1_REMUNERACAO_SERV+SUBMOD_2_1_DEC_TERC_ADIC_FERIAS_SERV)</f>
        <v>2.29333333333333</v>
      </c>
      <c r="H41" s="162"/>
      <c r="I41" s="162"/>
      <c r="J41" s="162"/>
      <c r="K41" s="162"/>
      <c r="L41" s="162"/>
      <c r="M41" s="162"/>
      <c r="N41" s="162"/>
    </row>
    <row r="42" s="3" customFormat="true" ht="16.5" hidden="false" customHeight="true" outlineLevel="0" collapsed="false">
      <c r="B42" s="47" t="s">
        <v>172</v>
      </c>
      <c r="C42" s="23" t="s">
        <v>214</v>
      </c>
      <c r="D42" s="23"/>
      <c r="E42" s="109" t="n">
        <f aca="false">PERC_FGTS</f>
        <v>8</v>
      </c>
      <c r="F42" s="102" t="n">
        <f aca="false">PERC_FGTS%*(MOD_1_REMUNERACAO_SERV+SUBMOD_2_1_DEC_TERC_ADIC_FERIAS_SERV)</f>
        <v>91.7333333333333</v>
      </c>
      <c r="H42" s="162"/>
      <c r="I42" s="162"/>
      <c r="J42" s="162"/>
      <c r="K42" s="162"/>
      <c r="L42" s="162"/>
      <c r="M42" s="162"/>
      <c r="N42" s="162"/>
    </row>
    <row r="43" s="3" customFormat="true" ht="16.5" hidden="false" customHeight="false" outlineLevel="0" collapsed="false">
      <c r="B43" s="64" t="s">
        <v>215</v>
      </c>
      <c r="C43" s="64"/>
      <c r="D43" s="64"/>
      <c r="E43" s="64"/>
      <c r="F43" s="137" t="n">
        <f aca="false">SUM(F35:F42)</f>
        <v>421.973333333333</v>
      </c>
      <c r="H43" s="162"/>
      <c r="I43" s="162"/>
      <c r="J43" s="162"/>
      <c r="K43" s="162"/>
      <c r="L43" s="162"/>
      <c r="M43" s="162"/>
      <c r="N43" s="162"/>
    </row>
    <row r="44" s="13" customFormat="true" ht="16.5" hidden="false" customHeight="false" outlineLevel="0" collapsed="false">
      <c r="B44" s="44" t="s">
        <v>56</v>
      </c>
      <c r="H44" s="162"/>
      <c r="I44" s="162"/>
      <c r="J44" s="162"/>
      <c r="K44" s="162"/>
      <c r="L44" s="162"/>
      <c r="M44" s="162"/>
      <c r="N44" s="162"/>
    </row>
    <row r="45" s="13" customFormat="true" ht="16.5" hidden="false" customHeight="true" outlineLevel="0" collapsed="false">
      <c r="B45" s="19" t="s">
        <v>57</v>
      </c>
      <c r="C45" s="46" t="s">
        <v>58</v>
      </c>
      <c r="D45" s="46"/>
      <c r="E45" s="46"/>
      <c r="F45" s="47" t="s">
        <v>98</v>
      </c>
      <c r="H45" s="165"/>
      <c r="I45" s="165"/>
      <c r="J45" s="165"/>
      <c r="K45" s="165"/>
      <c r="L45" s="165"/>
      <c r="M45" s="165"/>
      <c r="N45" s="165"/>
    </row>
    <row r="46" customFormat="false" ht="16.5" hidden="false" customHeight="true" outlineLevel="0" collapsed="false">
      <c r="B46" s="17" t="s">
        <v>14</v>
      </c>
      <c r="C46" s="71" t="s">
        <v>61</v>
      </c>
      <c r="D46" s="71"/>
      <c r="E46" s="71"/>
      <c r="F46" s="100" t="n">
        <f aca="false">IF(DIAS_TRABALHADOS_NO_MES=15,(TRANSPORTE_POR_DIA*DIAS_TRABALHADOS_NO_MES)-(PERC_DESC_TRANSP_REMUNERACAO%*(AL_1_A_SAL_BASE_SERV/2)),IF(DIAS_TRABALHADOS_NO_MES=22,('INSERÇÃO-DE-DADOS_MÃO DE OBRA'!F42*DIAS_TRABALHADOS_NO_MES)-(PERC_DESC_TRANSP_REMUNERACAO%*(AL_1_A_SAL_BASE_SERV))))</f>
        <v>83.28</v>
      </c>
      <c r="H46" s="165"/>
      <c r="I46" s="165"/>
      <c r="J46" s="165"/>
      <c r="K46" s="165"/>
      <c r="L46" s="165"/>
      <c r="M46" s="165"/>
      <c r="N46" s="165"/>
    </row>
    <row r="47" customFormat="false" ht="16.5" hidden="false" customHeight="true" outlineLevel="0" collapsed="false">
      <c r="B47" s="17" t="s">
        <v>17</v>
      </c>
      <c r="C47" s="23" t="s">
        <v>75</v>
      </c>
      <c r="D47" s="23"/>
      <c r="E47" s="23"/>
      <c r="F47" s="102" t="n">
        <f aca="false">ALIMENTACAO_POR_DIA*DIAS_TRABALHADOS_NO_MES</f>
        <v>220</v>
      </c>
      <c r="H47" s="165"/>
      <c r="I47" s="165"/>
      <c r="J47" s="165"/>
      <c r="K47" s="165"/>
      <c r="L47" s="165"/>
      <c r="M47" s="165"/>
      <c r="N47" s="165"/>
    </row>
    <row r="48" customFormat="false" ht="15.75" hidden="false" customHeight="true" outlineLevel="0" collapsed="false">
      <c r="B48" s="17" t="s">
        <v>19</v>
      </c>
      <c r="C48" s="65" t="str">
        <f aca="false">OUTROS_BENEFICIOS_1_DESCRICAO</f>
        <v>Seguro de vida em grupo</v>
      </c>
      <c r="D48" s="65"/>
      <c r="E48" s="65"/>
      <c r="F48" s="100" t="n">
        <f aca="false">OUTROS_BENEFICIOS_1</f>
        <v>6</v>
      </c>
      <c r="H48" s="165"/>
      <c r="I48" s="165"/>
      <c r="J48" s="165"/>
      <c r="K48" s="165"/>
      <c r="L48" s="165"/>
      <c r="M48" s="165"/>
      <c r="N48" s="165"/>
    </row>
    <row r="49" customFormat="false" ht="15.75" hidden="false" customHeight="true" outlineLevel="0" collapsed="false">
      <c r="B49" s="17" t="s">
        <v>22</v>
      </c>
      <c r="C49" s="48" t="str">
        <f aca="false">OUTROS_BENEFICIOS_2_DESCRICAO</f>
        <v>Assistência social familiar</v>
      </c>
      <c r="D49" s="48"/>
      <c r="E49" s="48"/>
      <c r="F49" s="102" t="n">
        <f aca="false">OUTROS_BENEFICIOS_2</f>
        <v>9.7</v>
      </c>
      <c r="L49" s="161"/>
      <c r="M49" s="161"/>
      <c r="N49" s="166"/>
    </row>
    <row r="50" customFormat="false" ht="16.5" hidden="false" customHeight="false" outlineLevel="0" collapsed="false">
      <c r="B50" s="17" t="s">
        <v>25</v>
      </c>
      <c r="C50" s="65" t="str">
        <f aca="false">OUTROS_BENEFICIOS_3_DESCRICAO</f>
        <v>Assistência e inclusão social</v>
      </c>
      <c r="D50" s="65"/>
      <c r="E50" s="65"/>
      <c r="F50" s="100" t="n">
        <f aca="false">OUTROS_BENEFICIOS_3</f>
        <v>4</v>
      </c>
      <c r="L50" s="161"/>
      <c r="M50" s="161"/>
      <c r="N50" s="166"/>
    </row>
    <row r="51" s="52" customFormat="true" ht="16.5" hidden="false" customHeight="true" outlineLevel="0" collapsed="false">
      <c r="B51" s="46" t="s">
        <v>215</v>
      </c>
      <c r="C51" s="46"/>
      <c r="D51" s="46"/>
      <c r="E51" s="46"/>
      <c r="F51" s="134" t="n">
        <f aca="false">SUM(F46:F50)</f>
        <v>322.98</v>
      </c>
      <c r="H51" s="161"/>
      <c r="I51" s="161"/>
      <c r="J51" s="161"/>
      <c r="K51" s="161"/>
      <c r="L51" s="161"/>
      <c r="M51" s="161"/>
      <c r="N51" s="166"/>
    </row>
    <row r="52" s="52" customFormat="true" ht="16.5" hidden="false" customHeight="false" outlineLevel="0" collapsed="false">
      <c r="B52" s="44" t="s">
        <v>176</v>
      </c>
      <c r="C52" s="59"/>
      <c r="D52" s="60"/>
      <c r="E52" s="61"/>
      <c r="F52" s="61"/>
      <c r="H52" s="161"/>
      <c r="I52" s="161"/>
      <c r="J52" s="161"/>
      <c r="K52" s="161"/>
      <c r="L52" s="161"/>
      <c r="M52" s="161"/>
      <c r="N52" s="162"/>
    </row>
    <row r="53" s="52" customFormat="true" ht="16.5" hidden="false" customHeight="false" outlineLevel="0" collapsed="false">
      <c r="B53" s="19" t="n">
        <v>3</v>
      </c>
      <c r="C53" s="64" t="s">
        <v>177</v>
      </c>
      <c r="D53" s="64"/>
      <c r="E53" s="47" t="s">
        <v>86</v>
      </c>
      <c r="F53" s="47" t="s">
        <v>98</v>
      </c>
      <c r="H53" s="161"/>
      <c r="I53" s="161"/>
      <c r="J53" s="161"/>
      <c r="K53" s="161"/>
      <c r="L53" s="161"/>
      <c r="M53" s="161"/>
      <c r="N53" s="162"/>
    </row>
    <row r="54" s="52" customFormat="true" ht="16.5" hidden="false" customHeight="false" outlineLevel="0" collapsed="false">
      <c r="B54" s="19" t="s">
        <v>14</v>
      </c>
      <c r="C54" s="111" t="s">
        <v>216</v>
      </c>
      <c r="D54" s="111"/>
      <c r="E54" s="104" t="n">
        <f aca="false">PERC_AVISO_PREVIO_IND</f>
        <v>0.26011</v>
      </c>
      <c r="F54" s="100" t="n">
        <f aca="false">PERC_AVISO_PREVIO_IND%*(MOD_1_REMUNERACAO_SERV+SUBMOD_2_1_DEC_TERC_ADIC_FERIAS_SERV+AL_2_2_FGTS_SERV+SUBMOD_2_3_BENEFICIOS_SERV)</f>
        <v>4.061305518</v>
      </c>
      <c r="H54" s="161"/>
      <c r="I54" s="161"/>
      <c r="J54" s="161"/>
      <c r="K54" s="161"/>
      <c r="L54" s="161"/>
      <c r="M54" s="161"/>
      <c r="N54" s="162"/>
    </row>
    <row r="55" s="52" customFormat="true" ht="15" hidden="false" customHeight="true" outlineLevel="0" collapsed="false">
      <c r="B55" s="47" t="s">
        <v>17</v>
      </c>
      <c r="C55" s="112" t="s">
        <v>218</v>
      </c>
      <c r="D55" s="112"/>
      <c r="E55" s="109" t="n">
        <f aca="false">PERC_FGTS_AVISO_PREV_IND</f>
        <v>0.0208088</v>
      </c>
      <c r="F55" s="102" t="n">
        <f aca="false">PERC_FGTS_AVISO_PREV_IND%*(MOD_1_REMUNERACAO_SERV+SUBMOD_2_1_DEC_TERC_ADIC_FERIAS_SERV)</f>
        <v>0.238607573333333</v>
      </c>
      <c r="H55" s="161"/>
      <c r="I55" s="161"/>
      <c r="J55" s="161"/>
      <c r="K55" s="161"/>
      <c r="L55" s="161"/>
      <c r="M55" s="161"/>
      <c r="N55" s="166"/>
    </row>
    <row r="56" s="52" customFormat="true" ht="31.5" hidden="false" customHeight="true" outlineLevel="0" collapsed="false">
      <c r="B56" s="47" t="s">
        <v>19</v>
      </c>
      <c r="C56" s="111" t="s">
        <v>220</v>
      </c>
      <c r="D56" s="111"/>
      <c r="E56" s="104" t="n">
        <f aca="false">PERC_MULTA_FGTS_AV_PREV_IND</f>
        <v>0.0104044</v>
      </c>
      <c r="F56" s="100" t="n">
        <f aca="false">PERC_MULTA_FGTS_AV_PREV_IND%*(MOD_1_REMUNERACAO_SERV+SUBMOD_2_1_DEC_TERC_ADIC_FERIAS_SERV)</f>
        <v>0.119303786666667</v>
      </c>
      <c r="H56" s="161"/>
      <c r="I56" s="161"/>
      <c r="J56" s="161"/>
      <c r="K56" s="161"/>
      <c r="L56" s="161"/>
      <c r="M56" s="161"/>
      <c r="N56" s="162"/>
    </row>
    <row r="57" s="52" customFormat="true" ht="15" hidden="false" customHeight="true" outlineLevel="0" collapsed="false">
      <c r="B57" s="47" t="s">
        <v>22</v>
      </c>
      <c r="C57" s="112" t="s">
        <v>222</v>
      </c>
      <c r="D57" s="112"/>
      <c r="E57" s="109" t="n">
        <f aca="false">PERC_AVISO_PREVIO_TRAB</f>
        <v>1.03286322222222</v>
      </c>
      <c r="F57" s="102" t="n">
        <f aca="false">PERC_AVISO_PREVIO_TRAB%*(MOD_1_REMUNERACAO_SERV+SUBMOD_2_1_DEC_TERC_ADIC_FERIAS_SERV+SUBMOD_2_2_GPS_FGTS_SERV+SUBMOD_2_3_BENEFICIOS_SERV)</f>
        <v>19.5378472842</v>
      </c>
      <c r="H57" s="161"/>
      <c r="I57" s="161"/>
      <c r="J57" s="161"/>
      <c r="K57" s="161"/>
      <c r="L57" s="161"/>
      <c r="M57" s="161"/>
      <c r="N57" s="162"/>
    </row>
    <row r="58" s="52" customFormat="true" ht="33.75" hidden="false" customHeight="true" outlineLevel="0" collapsed="false">
      <c r="B58" s="47" t="s">
        <v>25</v>
      </c>
      <c r="C58" s="111" t="s">
        <v>224</v>
      </c>
      <c r="D58" s="111"/>
      <c r="E58" s="104" t="n">
        <f aca="false">PERC_GPS_FGTS_AVISO_PREVIO_TRAB</f>
        <v>0.380093665777778</v>
      </c>
      <c r="F58" s="100" t="n">
        <f aca="false">PERC_GPS_FGTS_AVISO_PREVIO_TRAB%*(MOD_1_REMUNERACAO_SERV+SUBMOD_2_1_DEC_TERC_ADIC_FERIAS_SERV)</f>
        <v>4.35840736758519</v>
      </c>
      <c r="H58" s="161"/>
      <c r="I58" s="161"/>
      <c r="J58" s="161"/>
      <c r="K58" s="161"/>
      <c r="L58" s="161"/>
      <c r="M58" s="161"/>
      <c r="N58" s="167"/>
    </row>
    <row r="59" s="52" customFormat="true" ht="32.25" hidden="false" customHeight="true" outlineLevel="0" collapsed="false">
      <c r="B59" s="47" t="s">
        <v>80</v>
      </c>
      <c r="C59" s="112" t="s">
        <v>226</v>
      </c>
      <c r="D59" s="112"/>
      <c r="E59" s="109" t="n">
        <f aca="false">PERC_MULTA_FGTS_AV_PREV_TRAB</f>
        <v>0.05</v>
      </c>
      <c r="F59" s="102" t="n">
        <f aca="false">PERC_MULTA_FGTS_AV_PREV_TRAB%*(MOD_1_REMUNERACAO_SERV+SUBMOD_2_1_DEC_TERC_ADIC_FERIAS_SERV)</f>
        <v>0.573333333333333</v>
      </c>
      <c r="H59" s="161"/>
      <c r="I59" s="161"/>
      <c r="J59" s="161"/>
      <c r="K59" s="161"/>
      <c r="L59" s="161"/>
      <c r="M59" s="161"/>
      <c r="N59" s="162"/>
    </row>
    <row r="60" s="3" customFormat="true" ht="16.5" hidden="false" customHeight="false" outlineLevel="0" collapsed="false">
      <c r="B60" s="64" t="s">
        <v>215</v>
      </c>
      <c r="C60" s="64"/>
      <c r="D60" s="64"/>
      <c r="E60" s="64"/>
      <c r="F60" s="135" t="n">
        <f aca="false">SUM(F54:F59)</f>
        <v>28.8888048631185</v>
      </c>
      <c r="H60" s="161"/>
      <c r="I60" s="161"/>
      <c r="J60" s="161"/>
      <c r="K60" s="161"/>
      <c r="L60" s="161"/>
      <c r="M60" s="161"/>
      <c r="N60" s="162"/>
    </row>
    <row r="61" s="3" customFormat="true" ht="16.5" hidden="false" customHeight="false" outlineLevel="0" collapsed="false">
      <c r="B61" s="44" t="s">
        <v>82</v>
      </c>
      <c r="C61" s="59"/>
      <c r="D61" s="60"/>
      <c r="E61" s="1"/>
      <c r="F61" s="1"/>
      <c r="H61" s="161"/>
      <c r="I61" s="161"/>
      <c r="J61" s="161"/>
      <c r="K61" s="161"/>
      <c r="L61" s="161"/>
      <c r="M61" s="161"/>
      <c r="N61" s="162"/>
    </row>
    <row r="62" s="3" customFormat="true" ht="16.5" hidden="false" customHeight="false" outlineLevel="0" collapsed="false">
      <c r="B62" s="44" t="s">
        <v>83</v>
      </c>
      <c r="C62" s="59"/>
      <c r="D62" s="60"/>
      <c r="E62" s="61"/>
      <c r="F62" s="61"/>
      <c r="H62" s="168"/>
      <c r="I62" s="168"/>
      <c r="J62" s="168"/>
      <c r="K62" s="168"/>
      <c r="L62" s="161"/>
      <c r="M62" s="161"/>
      <c r="N62" s="162"/>
    </row>
    <row r="63" s="3" customFormat="true" ht="16.5" hidden="false" customHeight="true" outlineLevel="0" collapsed="false">
      <c r="B63" s="19" t="s">
        <v>84</v>
      </c>
      <c r="C63" s="46" t="s">
        <v>85</v>
      </c>
      <c r="D63" s="46"/>
      <c r="E63" s="47" t="s">
        <v>86</v>
      </c>
      <c r="F63" s="47" t="s">
        <v>98</v>
      </c>
      <c r="H63" s="168"/>
      <c r="I63" s="168"/>
      <c r="J63" s="168"/>
      <c r="K63" s="168"/>
      <c r="L63" s="161"/>
      <c r="M63" s="161"/>
      <c r="N63" s="162"/>
    </row>
    <row r="64" customFormat="false" ht="16.5" hidden="false" customHeight="true" outlineLevel="0" collapsed="false">
      <c r="B64" s="47" t="s">
        <v>14</v>
      </c>
      <c r="C64" s="71" t="s">
        <v>228</v>
      </c>
      <c r="D64" s="71"/>
      <c r="E64" s="104" t="n">
        <f aca="false">PERC_SUBSTITUTO_FERIAS</f>
        <v>8.33333333333333</v>
      </c>
      <c r="F64" s="100" t="n">
        <f aca="false">PERC_SUBSTITUTO_FERIAS%*(MOD_1_REMUNERACAO_SERV+MOD_2_ENCARGOS_BENEFICIOS_SERV+MOD_3_PROVISAO_RESCISAO_SERV)</f>
        <v>160.04240040526</v>
      </c>
      <c r="H64" s="168"/>
      <c r="I64" s="168"/>
      <c r="J64" s="168"/>
      <c r="K64" s="168"/>
      <c r="L64" s="161"/>
      <c r="M64" s="161"/>
    </row>
    <row r="65" s="3" customFormat="true" ht="15.95" hidden="false" customHeight="true" outlineLevel="0" collapsed="false">
      <c r="B65" s="47" t="s">
        <v>17</v>
      </c>
      <c r="C65" s="23" t="s">
        <v>230</v>
      </c>
      <c r="D65" s="23"/>
      <c r="E65" s="109" t="n">
        <f aca="false">PERC_SUBSTITUTO_AUSENCIAS_LEGAIS</f>
        <v>2.22222222222222</v>
      </c>
      <c r="F65" s="102" t="n">
        <f aca="false">PERC_SUBSTITUTO_AUSENCIAS_LEGAIS%*(MOD_1_REMUNERACAO_SERV+MOD_2_ENCARGOS_BENEFICIOS_SERV+MOD_3_PROVISAO_RESCISAO_SERV)</f>
        <v>42.6779734414026</v>
      </c>
      <c r="H65" s="168"/>
      <c r="I65" s="168"/>
      <c r="J65" s="168"/>
      <c r="K65" s="168"/>
      <c r="L65" s="161"/>
      <c r="M65" s="161"/>
      <c r="N65" s="162"/>
    </row>
    <row r="66" s="3" customFormat="true" ht="15.95" hidden="false" customHeight="true" outlineLevel="0" collapsed="false">
      <c r="B66" s="47" t="s">
        <v>19</v>
      </c>
      <c r="C66" s="71" t="s">
        <v>232</v>
      </c>
      <c r="D66" s="71"/>
      <c r="E66" s="104" t="n">
        <f aca="false">PERC_SUBSTITUTO_LICENCA_PATERNIDADE</f>
        <v>0.0356735555555555</v>
      </c>
      <c r="F66" s="100" t="n">
        <f aca="false">PERC_SUBSTITUTO_LICENCA_PATERNIDADE%*(MOD_1_REMUNERACAO_SERV+MOD_2_ENCARGOS_BENEFICIOS_SERV+MOD_3_PROVISAO_RESCISAO_SERV)</f>
        <v>0.685113775452179</v>
      </c>
      <c r="H66" s="168"/>
      <c r="I66" s="168"/>
      <c r="J66" s="168"/>
      <c r="K66" s="168"/>
      <c r="L66" s="161"/>
      <c r="M66" s="161"/>
      <c r="N66" s="168"/>
    </row>
    <row r="67" s="3" customFormat="true" ht="16.5" hidden="false" customHeight="true" outlineLevel="0" collapsed="false">
      <c r="B67" s="47" t="s">
        <v>22</v>
      </c>
      <c r="C67" s="23" t="s">
        <v>234</v>
      </c>
      <c r="D67" s="23"/>
      <c r="E67" s="109" t="n">
        <f aca="false">PERC_SUBSTITUTO_ACID_TRAB</f>
        <v>0.0185302229372558</v>
      </c>
      <c r="F67" s="102" t="n">
        <f aca="false">PERC_SUBSTITUTO_ACID_TRAB%*(MOD_1_REMUNERACAO_SERV+MOD_2_ENCARGOS_BENEFICIOS_SERV+MOD_3_PROVISAO_RESCISAO_SERV)</f>
        <v>0.355874563070763</v>
      </c>
      <c r="H67" s="168"/>
      <c r="I67" s="168"/>
      <c r="J67" s="168"/>
      <c r="K67" s="168"/>
      <c r="L67" s="161"/>
      <c r="M67" s="161"/>
      <c r="N67" s="168"/>
    </row>
    <row r="68" s="3" customFormat="true" ht="15.95" hidden="false" customHeight="true" outlineLevel="0" collapsed="false">
      <c r="B68" s="47" t="s">
        <v>25</v>
      </c>
      <c r="C68" s="71" t="s">
        <v>236</v>
      </c>
      <c r="D68" s="71"/>
      <c r="E68" s="104" t="n">
        <f aca="false">PERC_SUBSTITUTO_AFAST_MATERN</f>
        <v>0.143129184</v>
      </c>
      <c r="F68" s="100" t="n">
        <f aca="false">PERC_SUBSTITUTO_AFAST_MATERN%*(MOD_1_REMUNERACAO_SERV+MOD_2_ENCARGOS_BENEFICIOS_SERV+MOD_3_PROVISAO_RESCISAO_SERV)</f>
        <v>2.74880858104873</v>
      </c>
      <c r="H68" s="168"/>
      <c r="I68" s="168"/>
      <c r="J68" s="168"/>
      <c r="K68" s="168"/>
      <c r="L68" s="161"/>
      <c r="M68" s="161"/>
      <c r="N68" s="168"/>
    </row>
    <row r="69" s="3" customFormat="true" ht="15.95" hidden="false" customHeight="true" outlineLevel="0" collapsed="false">
      <c r="B69" s="47" t="s">
        <v>80</v>
      </c>
      <c r="C69" s="138" t="str">
        <f aca="false">OUTRAS_AUSENCIAS_DESCRICAO</f>
        <v>Outras Ausências (Especificar em %)</v>
      </c>
      <c r="D69" s="138"/>
      <c r="E69" s="139" t="n">
        <f aca="false">PERC_SUBSTITUTO_OUTRAS_AUSENCIAS</f>
        <v>0</v>
      </c>
      <c r="F69" s="102" t="n">
        <f aca="false">PERC_SUBSTITUTO_OUTRAS_AUSENCIAS%*(MOD_1_REMUNERACAO_SERV+MOD_2_ENCARGOS_BENEFICIOS_SERV+MOD_3_PROVISAO_RESCISAO_SERV)</f>
        <v>0</v>
      </c>
      <c r="H69" s="168"/>
      <c r="I69" s="168"/>
      <c r="J69" s="168"/>
      <c r="K69" s="168"/>
      <c r="L69" s="161"/>
      <c r="M69" s="161"/>
      <c r="N69" s="168"/>
    </row>
    <row r="70" s="3" customFormat="true" ht="15.95" hidden="false" customHeight="true" outlineLevel="0" collapsed="false">
      <c r="B70" s="64" t="s">
        <v>215</v>
      </c>
      <c r="C70" s="64"/>
      <c r="D70" s="64"/>
      <c r="E70" s="64"/>
      <c r="F70" s="135" t="n">
        <f aca="false">SUM(F64:F69)</f>
        <v>206.510170766234</v>
      </c>
      <c r="H70" s="168"/>
      <c r="I70" s="168"/>
      <c r="J70" s="168"/>
      <c r="K70" s="168"/>
      <c r="L70" s="161"/>
      <c r="M70" s="161"/>
      <c r="N70" s="168"/>
    </row>
    <row r="71" s="3" customFormat="true" ht="16.5" hidden="false" customHeight="false" outlineLevel="0" collapsed="false">
      <c r="B71" s="44" t="s">
        <v>88</v>
      </c>
      <c r="C71" s="59"/>
      <c r="D71" s="60"/>
      <c r="E71" s="61"/>
      <c r="F71" s="61"/>
      <c r="H71" s="168"/>
      <c r="I71" s="168"/>
      <c r="J71" s="168"/>
      <c r="K71" s="168"/>
      <c r="L71" s="161"/>
      <c r="M71" s="161"/>
      <c r="N71" s="168"/>
    </row>
    <row r="72" s="3" customFormat="true" ht="16.5" hidden="false" customHeight="false" outlineLevel="0" collapsed="false">
      <c r="B72" s="19" t="s">
        <v>89</v>
      </c>
      <c r="C72" s="64" t="s">
        <v>90</v>
      </c>
      <c r="D72" s="64"/>
      <c r="E72" s="64"/>
      <c r="F72" s="47" t="s">
        <v>98</v>
      </c>
      <c r="H72" s="168"/>
      <c r="I72" s="168"/>
      <c r="J72" s="168"/>
      <c r="K72" s="168"/>
      <c r="L72" s="161"/>
      <c r="M72" s="161"/>
      <c r="N72" s="168"/>
    </row>
    <row r="73" s="3" customFormat="true" ht="16.5" hidden="false" customHeight="true" outlineLevel="0" collapsed="false">
      <c r="B73" s="19" t="s">
        <v>14</v>
      </c>
      <c r="C73" s="71" t="s">
        <v>247</v>
      </c>
      <c r="D73" s="71"/>
      <c r="E73" s="71"/>
      <c r="F73" s="132" t="n">
        <f aca="false">IF(DIAS_TRABALHADOS_NO_MES=15,((MOD_1_REMUNERACAO_SERV+MOD_2_ENCARGOS_BENEFICIOS_SERV+MOD_3_PROVISAO_RESCISAO_SERV)/DIVISOR_DE_HORAS)*((TEMPO_INTERVALO_REFEICAO/HORA_NORMAL)+PERC_HORA_EXTRA%)*DIAS_TRABALHADOS_NO_MES,0)</f>
        <v>0</v>
      </c>
      <c r="H73" s="168"/>
      <c r="I73" s="168"/>
      <c r="J73" s="168"/>
      <c r="K73" s="168"/>
      <c r="L73" s="161"/>
      <c r="M73" s="161"/>
      <c r="N73" s="168"/>
    </row>
    <row r="74" s="3" customFormat="true" ht="16.5" hidden="false" customHeight="false" outlineLevel="0" collapsed="false">
      <c r="B74" s="64" t="s">
        <v>215</v>
      </c>
      <c r="C74" s="64"/>
      <c r="D74" s="64"/>
      <c r="E74" s="64"/>
      <c r="F74" s="135" t="n">
        <f aca="false">SUM(F73)</f>
        <v>0</v>
      </c>
      <c r="H74" s="168"/>
      <c r="I74" s="168"/>
      <c r="J74" s="168"/>
      <c r="K74" s="168"/>
      <c r="L74" s="161"/>
      <c r="M74" s="161"/>
      <c r="N74" s="168"/>
    </row>
    <row r="75" s="3" customFormat="true" ht="16.5" hidden="false" customHeight="false" outlineLevel="0" collapsed="false">
      <c r="B75" s="44" t="s">
        <v>95</v>
      </c>
      <c r="C75" s="59"/>
      <c r="D75" s="59"/>
      <c r="E75" s="61"/>
      <c r="F75" s="61"/>
      <c r="H75" s="168"/>
      <c r="I75" s="168"/>
      <c r="J75" s="168"/>
      <c r="K75" s="168"/>
      <c r="L75" s="161"/>
      <c r="M75" s="161"/>
      <c r="N75" s="168"/>
    </row>
    <row r="76" s="3" customFormat="true" ht="16.5" hidden="false" customHeight="true" outlineLevel="0" collapsed="false">
      <c r="B76" s="66" t="n">
        <v>5</v>
      </c>
      <c r="C76" s="140" t="s">
        <v>97</v>
      </c>
      <c r="D76" s="140"/>
      <c r="E76" s="140"/>
      <c r="F76" s="141" t="s">
        <v>98</v>
      </c>
      <c r="H76" s="161"/>
      <c r="I76" s="161"/>
      <c r="J76" s="161"/>
      <c r="K76" s="161"/>
      <c r="L76" s="161"/>
      <c r="M76" s="161"/>
      <c r="N76" s="168"/>
    </row>
    <row r="77" s="3" customFormat="true" ht="16.5" hidden="false" customHeight="true" outlineLevel="0" collapsed="false">
      <c r="B77" s="142" t="s">
        <v>14</v>
      </c>
      <c r="C77" s="143" t="s">
        <v>248</v>
      </c>
      <c r="D77" s="143"/>
      <c r="E77" s="143"/>
      <c r="F77" s="144" t="n">
        <f aca="false">UNIFORMES!I14</f>
        <v>33.2241666666667</v>
      </c>
      <c r="H77" s="161"/>
      <c r="I77" s="161"/>
      <c r="J77" s="161"/>
      <c r="K77" s="161"/>
      <c r="L77" s="161"/>
      <c r="M77" s="161"/>
      <c r="N77" s="168"/>
    </row>
    <row r="78" customFormat="false" ht="16.5" hidden="false" customHeight="true" outlineLevel="0" collapsed="false">
      <c r="B78" s="142" t="s">
        <v>17</v>
      </c>
      <c r="C78" s="145" t="s">
        <v>249</v>
      </c>
      <c r="D78" s="145"/>
      <c r="E78" s="145"/>
      <c r="F78" s="146" t="n">
        <f aca="false">'MATERIAIS E EQUIPAMENTOS'!M43+'MATERIAIS E EQUIPAMENTOS'!M72</f>
        <v>458.295902777778</v>
      </c>
      <c r="L78" s="161"/>
      <c r="M78" s="161"/>
      <c r="N78" s="168"/>
    </row>
    <row r="79" customFormat="false" ht="16.5" hidden="false" customHeight="true" outlineLevel="0" collapsed="false">
      <c r="B79" s="142" t="s">
        <v>19</v>
      </c>
      <c r="C79" s="143" t="s">
        <v>250</v>
      </c>
      <c r="D79" s="143"/>
      <c r="E79" s="143"/>
      <c r="F79" s="144" t="n">
        <f aca="false">'MATERIAIS E EQUIPAMENTOS'!M94</f>
        <v>22.6162888888889</v>
      </c>
      <c r="L79" s="161"/>
      <c r="M79" s="161"/>
      <c r="N79" s="168"/>
    </row>
    <row r="80" customFormat="false" ht="15.75" hidden="false" customHeight="true" outlineLevel="0" collapsed="false">
      <c r="B80" s="142" t="s">
        <v>22</v>
      </c>
      <c r="C80" s="147" t="str">
        <f aca="false">ENCARREGADO!C80</f>
        <v>Outros Insumos</v>
      </c>
      <c r="D80" s="147"/>
      <c r="E80" s="147"/>
      <c r="F80" s="146" t="n">
        <v>0</v>
      </c>
      <c r="L80" s="161"/>
      <c r="M80" s="161"/>
      <c r="N80" s="161"/>
    </row>
    <row r="81" customFormat="false" ht="16.5" hidden="false" customHeight="true" outlineLevel="0" collapsed="false">
      <c r="B81" s="140" t="s">
        <v>215</v>
      </c>
      <c r="C81" s="140"/>
      <c r="D81" s="140"/>
      <c r="E81" s="140"/>
      <c r="F81" s="148" t="n">
        <f aca="false">SUM(F77:F80)</f>
        <v>514.136358333333</v>
      </c>
      <c r="L81" s="161"/>
      <c r="M81" s="161"/>
    </row>
    <row r="82" customFormat="false" ht="16.5" hidden="false" customHeight="true" outlineLevel="0" collapsed="false">
      <c r="B82" s="69" t="s">
        <v>99</v>
      </c>
      <c r="C82" s="69"/>
      <c r="D82" s="69"/>
      <c r="E82" s="69"/>
      <c r="F82" s="69"/>
      <c r="L82" s="161"/>
      <c r="M82" s="161"/>
    </row>
    <row r="83" customFormat="false" ht="16.5" hidden="false" customHeight="false" outlineLevel="0" collapsed="false">
      <c r="B83" s="19" t="n">
        <v>6</v>
      </c>
      <c r="C83" s="64" t="s">
        <v>252</v>
      </c>
      <c r="D83" s="64"/>
      <c r="E83" s="47" t="s">
        <v>86</v>
      </c>
      <c r="F83" s="47" t="s">
        <v>98</v>
      </c>
      <c r="L83" s="161"/>
      <c r="M83" s="161"/>
    </row>
    <row r="84" customFormat="false" ht="16.5" hidden="false" customHeight="true" outlineLevel="0" collapsed="false">
      <c r="B84" s="19" t="s">
        <v>14</v>
      </c>
      <c r="C84" s="71" t="s">
        <v>107</v>
      </c>
      <c r="D84" s="71"/>
      <c r="E84" s="149" t="n">
        <f aca="false">'INSERÇÃO-DE-DADOS_MÃO DE OBRA'!E68</f>
        <v>4.73</v>
      </c>
      <c r="F84" s="100" t="n">
        <f aca="false">E84%*(MOD_1_REMUNERACAO_SERV+MOD_2_ENCARGOS_BENEFICIOS_SERV+MOD_3_PROVISAO_RESCISAO_SERV+MOD_4_CUSTO_REPOSICAO_SERV+MOD_5_INSUMOS_SERV)</f>
        <v>124.926647296435</v>
      </c>
      <c r="L84" s="161"/>
      <c r="M84" s="161"/>
    </row>
    <row r="85" customFormat="false" ht="16.5" hidden="false" customHeight="true" outlineLevel="0" collapsed="false">
      <c r="B85" s="47" t="s">
        <v>17</v>
      </c>
      <c r="C85" s="23" t="s">
        <v>108</v>
      </c>
      <c r="D85" s="23"/>
      <c r="E85" s="150" t="n">
        <f aca="false">'INSERÇÃO-DE-DADOS_MÃO DE OBRA'!E69</f>
        <v>5.57</v>
      </c>
      <c r="F85" s="102" t="n">
        <f aca="false">E85%*(MOD_1_REMUNERACAO_SERV+MOD_2_ENCARGOS_BENEFICIOS_SERV+MOD_3_PROVISAO_RESCISAO_SERV+MOD_4_CUSTO_REPOSICAO_SERV+MOD_5_INSUMOS_SERV+AL_6_A_CUSTOS_INDIRETOS_SERV)</f>
        <v>154.070766356133</v>
      </c>
      <c r="L85" s="161"/>
      <c r="M85" s="161"/>
    </row>
    <row r="86" customFormat="false" ht="15" hidden="false" customHeight="true" outlineLevel="0" collapsed="false">
      <c r="B86" s="47" t="s">
        <v>19</v>
      </c>
      <c r="C86" s="71" t="s">
        <v>253</v>
      </c>
      <c r="D86" s="71"/>
      <c r="E86" s="149" t="n">
        <f aca="false">SUM(E87:E89)</f>
        <v>8.65</v>
      </c>
      <c r="F86" s="100" t="n">
        <f aca="false">SUM(F87:F89)</f>
        <v>276.511453386666</v>
      </c>
      <c r="L86" s="161"/>
      <c r="M86" s="161"/>
    </row>
    <row r="87" customFormat="false" ht="16.5" hidden="false" customHeight="true" outlineLevel="0" collapsed="false">
      <c r="B87" s="73" t="s">
        <v>109</v>
      </c>
      <c r="C87" s="151" t="s">
        <v>110</v>
      </c>
      <c r="D87" s="151"/>
      <c r="E87" s="152" t="n">
        <f aca="false">'INSERÇÃO-DE-DADOS_MÃO DE OBRA'!E70</f>
        <v>0.65</v>
      </c>
      <c r="F87" s="153" t="n">
        <f aca="false">((MOD_1_REMUNERACAO_SERV+MOD_2_ENCARGOS_BENEFICIOS_SERV+MOD_3_PROVISAO_RESCISAO_SERV+MOD_4_CUSTO_REPOSICAO_SERV+MOD_5_INSUMOS_SERV+AL_6_A_CUSTOS_INDIRETOS_SERV+AL_6_B_LUCRO_SERV)*E87%)/(1-PERC_TRIBUTOS%)</f>
        <v>20.7783173065125</v>
      </c>
      <c r="L87" s="161"/>
      <c r="M87" s="161"/>
    </row>
    <row r="88" customFormat="false" ht="16.5" hidden="false" customHeight="true" outlineLevel="0" collapsed="false">
      <c r="B88" s="73" t="s">
        <v>111</v>
      </c>
      <c r="C88" s="154" t="s">
        <v>112</v>
      </c>
      <c r="D88" s="154"/>
      <c r="E88" s="155" t="n">
        <f aca="false">'INSERÇÃO-DE-DADOS_MÃO DE OBRA'!E71</f>
        <v>3</v>
      </c>
      <c r="F88" s="156" t="n">
        <f aca="false">((MOD_1_REMUNERACAO_SERV+MOD_2_ENCARGOS_BENEFICIOS_SERV+MOD_3_PROVISAO_RESCISAO_SERV+MOD_4_CUSTO_REPOSICAO_SERV+MOD_5_INSUMOS_SERV+AL_6_A_CUSTOS_INDIRETOS_SERV+AL_6_B_LUCRO_SERV)*E88%)/(1-PERC_TRIBUTOS%)</f>
        <v>95.8999260300576</v>
      </c>
      <c r="L88" s="161"/>
      <c r="M88" s="161"/>
    </row>
    <row r="89" customFormat="false" ht="15.75" hidden="false" customHeight="true" outlineLevel="0" collapsed="false">
      <c r="B89" s="73" t="s">
        <v>113</v>
      </c>
      <c r="C89" s="151" t="s">
        <v>114</v>
      </c>
      <c r="D89" s="151"/>
      <c r="E89" s="152" t="n">
        <f aca="false">'INSERÇÃO-DE-DADOS_MÃO DE OBRA'!E72</f>
        <v>5</v>
      </c>
      <c r="F89" s="153" t="n">
        <f aca="false">((MOD_1_REMUNERACAO_SERV+MOD_2_ENCARGOS_BENEFICIOS_SERV+MOD_3_PROVISAO_RESCISAO_SERV+MOD_4_CUSTO_REPOSICAO_SERV+MOD_5_INSUMOS_SERV+AL_6_A_CUSTOS_INDIRETOS_SERV+AL_6_B_LUCRO_SERV)*E89%)/(1-PERC_TRIBUTOS%)</f>
        <v>159.833210050096</v>
      </c>
      <c r="L89" s="161"/>
      <c r="M89" s="161"/>
    </row>
    <row r="90" customFormat="false" ht="16.4" hidden="false" customHeight="false" outlineLevel="0" collapsed="false">
      <c r="B90" s="64" t="s">
        <v>215</v>
      </c>
      <c r="C90" s="64"/>
      <c r="D90" s="64"/>
      <c r="E90" s="64"/>
      <c r="F90" s="157" t="n">
        <f aca="false">AL_6_A_CUSTOS_INDIRETOS_SERV+AL_6_B_LUCRO_SERV+AL_6_C_TRIBUTOS_SERV</f>
        <v>555.508867039234</v>
      </c>
      <c r="L90" s="161"/>
      <c r="M90" s="161"/>
    </row>
    <row r="91" customFormat="false" ht="15.75" hidden="false" customHeight="true" outlineLevel="0" collapsed="false">
      <c r="B91" s="158" t="s">
        <v>254</v>
      </c>
      <c r="C91" s="159"/>
      <c r="D91" s="159"/>
      <c r="E91" s="159"/>
      <c r="F91" s="160"/>
      <c r="L91" s="161"/>
      <c r="M91" s="161"/>
    </row>
    <row r="92" customFormat="false" ht="16.5" hidden="false" customHeight="true" outlineLevel="0" collapsed="false">
      <c r="B92" s="47" t="s">
        <v>255</v>
      </c>
      <c r="C92" s="46" t="s">
        <v>256</v>
      </c>
      <c r="D92" s="46"/>
      <c r="E92" s="46"/>
      <c r="F92" s="47" t="s">
        <v>257</v>
      </c>
      <c r="L92" s="161"/>
      <c r="M92" s="161"/>
    </row>
    <row r="93" s="67" customFormat="true" ht="16.5" hidden="false" customHeight="true" outlineLevel="0" collapsed="false">
      <c r="B93" s="19" t="n">
        <v>1</v>
      </c>
      <c r="C93" s="71" t="s">
        <v>49</v>
      </c>
      <c r="D93" s="71"/>
      <c r="E93" s="71"/>
      <c r="F93" s="100" t="n">
        <f aca="false">MOD_1_REMUNERACAO_SERV</f>
        <v>1032</v>
      </c>
      <c r="H93" s="161"/>
      <c r="I93" s="161"/>
      <c r="J93" s="161"/>
      <c r="K93" s="161"/>
      <c r="L93" s="161"/>
      <c r="M93" s="161"/>
      <c r="N93" s="162"/>
    </row>
    <row r="94" s="67" customFormat="true" ht="16.5" hidden="false" customHeight="true" outlineLevel="0" collapsed="false">
      <c r="B94" s="47" t="n">
        <v>2</v>
      </c>
      <c r="C94" s="23" t="s">
        <v>258</v>
      </c>
      <c r="D94" s="23"/>
      <c r="E94" s="23"/>
      <c r="F94" s="102" t="n">
        <f aca="false">MOD_2_ENCARGOS_BENEFICIOS_SERV</f>
        <v>859.62</v>
      </c>
      <c r="H94" s="161"/>
      <c r="I94" s="161"/>
      <c r="J94" s="161"/>
      <c r="K94" s="161"/>
      <c r="L94" s="161"/>
      <c r="M94" s="161"/>
      <c r="N94" s="162"/>
    </row>
    <row r="95" s="67" customFormat="true" ht="16.5" hidden="false" customHeight="true" outlineLevel="0" collapsed="false">
      <c r="B95" s="47" t="n">
        <v>3</v>
      </c>
      <c r="C95" s="71" t="s">
        <v>177</v>
      </c>
      <c r="D95" s="71"/>
      <c r="E95" s="71"/>
      <c r="F95" s="100" t="n">
        <f aca="false">MOD_3_PROVISAO_RESCISAO_SERV</f>
        <v>28.8888048631185</v>
      </c>
      <c r="H95" s="161"/>
      <c r="I95" s="161"/>
      <c r="J95" s="161"/>
      <c r="K95" s="161"/>
      <c r="L95" s="161"/>
      <c r="M95" s="161"/>
      <c r="N95" s="162"/>
    </row>
    <row r="96" s="70" customFormat="true" ht="16.5" hidden="false" customHeight="true" outlineLevel="0" collapsed="false">
      <c r="B96" s="47" t="n">
        <v>4</v>
      </c>
      <c r="C96" s="23" t="s">
        <v>259</v>
      </c>
      <c r="D96" s="23"/>
      <c r="E96" s="23"/>
      <c r="F96" s="102" t="n">
        <f aca="false">MOD_4_CUSTO_REPOSICAO_SERV</f>
        <v>206.510170766234</v>
      </c>
      <c r="H96" s="161"/>
      <c r="I96" s="161"/>
      <c r="J96" s="161"/>
      <c r="K96" s="161"/>
      <c r="L96" s="161"/>
      <c r="M96" s="161"/>
      <c r="N96" s="162"/>
    </row>
    <row r="97" s="67" customFormat="true" ht="16.5" hidden="false" customHeight="true" outlineLevel="0" collapsed="false">
      <c r="B97" s="47" t="n">
        <v>5</v>
      </c>
      <c r="C97" s="71" t="s">
        <v>97</v>
      </c>
      <c r="D97" s="71"/>
      <c r="E97" s="71"/>
      <c r="F97" s="100" t="n">
        <f aca="false">MOD_5_INSUMOS_SERV</f>
        <v>514.136358333333</v>
      </c>
      <c r="H97" s="161"/>
      <c r="I97" s="161"/>
      <c r="J97" s="161"/>
      <c r="K97" s="161"/>
      <c r="L97" s="161"/>
      <c r="M97" s="161"/>
      <c r="N97" s="162"/>
    </row>
    <row r="98" s="68" customFormat="true" ht="16.5" hidden="false" customHeight="true" outlineLevel="0" collapsed="false">
      <c r="B98" s="47" t="n">
        <v>6</v>
      </c>
      <c r="C98" s="23" t="s">
        <v>252</v>
      </c>
      <c r="D98" s="23"/>
      <c r="E98" s="23"/>
      <c r="F98" s="102" t="n">
        <f aca="false">MOD_6_CUSTOS_IND_LUCRO_TRIB_SERV</f>
        <v>555.508867039234</v>
      </c>
      <c r="H98" s="161"/>
      <c r="I98" s="161"/>
      <c r="J98" s="161"/>
      <c r="K98" s="161"/>
      <c r="L98" s="161"/>
      <c r="M98" s="161"/>
      <c r="N98" s="162"/>
    </row>
    <row r="99" s="68" customFormat="true" ht="16.5" hidden="false" customHeight="true" outlineLevel="0" collapsed="false">
      <c r="B99" s="46" t="s">
        <v>263</v>
      </c>
      <c r="C99" s="46"/>
      <c r="D99" s="46"/>
      <c r="E99" s="46"/>
      <c r="F99" s="157" t="n">
        <f aca="false">SUM(F93:F98)</f>
        <v>3196.66420100192</v>
      </c>
      <c r="H99" s="161"/>
      <c r="I99" s="161"/>
      <c r="J99" s="161"/>
      <c r="K99" s="161"/>
      <c r="L99" s="161"/>
      <c r="M99" s="161"/>
      <c r="N99" s="162"/>
    </row>
    <row r="100" s="68" customFormat="true" ht="16.5" hidden="false" customHeight="false" outlineLevel="0" collapsed="false">
      <c r="B100" s="1"/>
      <c r="C100" s="1"/>
      <c r="D100" s="1"/>
      <c r="E100" s="1"/>
      <c r="F100" s="1"/>
      <c r="H100" s="161"/>
      <c r="I100" s="161"/>
      <c r="J100" s="161"/>
      <c r="K100" s="161"/>
      <c r="L100" s="161"/>
      <c r="M100" s="161"/>
      <c r="N100" s="162"/>
    </row>
    <row r="101" customFormat="false" ht="16.5" hidden="false" customHeight="true" outlineLevel="0" collapsed="false">
      <c r="L101" s="161"/>
      <c r="M101" s="161"/>
    </row>
    <row r="102" customFormat="false" ht="16.5" hidden="false" customHeight="true" outlineLevel="0" collapsed="false">
      <c r="L102" s="161"/>
      <c r="M102" s="161"/>
    </row>
    <row r="103" customFormat="false" ht="16.5" hidden="false" customHeight="false" outlineLevel="0" collapsed="false">
      <c r="L103" s="161"/>
      <c r="M103" s="161"/>
    </row>
    <row r="104" customFormat="false" ht="16.5" hidden="false" customHeight="false" outlineLevel="0" collapsed="false">
      <c r="L104" s="161"/>
      <c r="M104" s="161"/>
    </row>
    <row r="105" customFormat="false" ht="16.5" hidden="false" customHeight="false" outlineLevel="0" collapsed="false">
      <c r="L105" s="161"/>
      <c r="M105" s="161"/>
    </row>
    <row r="106" customFormat="false" ht="16.5" hidden="false" customHeight="false" outlineLevel="0" collapsed="false">
      <c r="L106" s="161"/>
      <c r="M106" s="161"/>
    </row>
    <row r="107" customFormat="false" ht="16.5" hidden="false" customHeight="false" outlineLevel="0" collapsed="false">
      <c r="L107" s="161"/>
      <c r="M107" s="161"/>
    </row>
    <row r="108" customFormat="false" ht="16.5" hidden="false" customHeight="false" outlineLevel="0" collapsed="false">
      <c r="L108" s="161"/>
      <c r="M108" s="161"/>
    </row>
    <row r="109" customFormat="false" ht="16.5" hidden="false" customHeight="false" outlineLevel="0" collapsed="false">
      <c r="L109" s="161"/>
      <c r="M109" s="161"/>
      <c r="N109" s="161"/>
    </row>
    <row r="110" customFormat="false" ht="16.5" hidden="false" customHeight="false" outlineLevel="0" collapsed="false">
      <c r="L110" s="161"/>
      <c r="M110" s="161"/>
      <c r="N110" s="161"/>
    </row>
    <row r="111" customFormat="false" ht="16.5" hidden="false" customHeight="false" outlineLevel="0" collapsed="false">
      <c r="L111" s="161"/>
      <c r="M111" s="161"/>
      <c r="N111" s="161"/>
    </row>
    <row r="112" customFormat="false" ht="16.5" hidden="false" customHeight="false" outlineLevel="0" collapsed="false">
      <c r="L112" s="161"/>
      <c r="M112" s="161"/>
      <c r="N112" s="161"/>
    </row>
    <row r="113" customFormat="false" ht="16.5" hidden="false" customHeight="false" outlineLevel="0" collapsed="false">
      <c r="L113" s="161"/>
      <c r="M113" s="161"/>
      <c r="N113" s="161"/>
    </row>
    <row r="114" customFormat="false" ht="16.5" hidden="false" customHeight="false" outlineLevel="0" collapsed="false">
      <c r="L114" s="161"/>
      <c r="M114" s="161"/>
      <c r="N114" s="161"/>
    </row>
    <row r="115" customFormat="false" ht="16.5" hidden="false" customHeight="false" outlineLevel="0" collapsed="false">
      <c r="L115" s="161"/>
      <c r="M115" s="161"/>
      <c r="N115" s="161"/>
    </row>
    <row r="116" customFormat="false" ht="16.5" hidden="false" customHeight="false" outlineLevel="0" collapsed="false">
      <c r="H116" s="169"/>
      <c r="I116" s="169"/>
      <c r="J116" s="169"/>
      <c r="K116" s="169"/>
      <c r="L116" s="169"/>
      <c r="M116" s="169"/>
      <c r="N116" s="169"/>
    </row>
    <row r="117" customFormat="false" ht="16.5" hidden="false" customHeight="false" outlineLevel="0" collapsed="false">
      <c r="H117" s="169"/>
      <c r="I117" s="169"/>
      <c r="J117" s="169"/>
      <c r="K117" s="169"/>
      <c r="L117" s="169"/>
      <c r="M117" s="169"/>
      <c r="N117" s="169"/>
    </row>
    <row r="118" customFormat="false" ht="16.5" hidden="false" customHeight="false" outlineLevel="0" collapsed="false">
      <c r="H118" s="169"/>
      <c r="I118" s="169"/>
      <c r="J118" s="169"/>
      <c r="K118" s="169"/>
      <c r="L118" s="169"/>
      <c r="M118" s="169"/>
      <c r="N118" s="169"/>
    </row>
    <row r="119" customFormat="false" ht="16.5" hidden="false" customHeight="false" outlineLevel="0" collapsed="false">
      <c r="H119" s="169"/>
      <c r="I119" s="169"/>
      <c r="J119" s="169"/>
      <c r="K119" s="169"/>
      <c r="L119" s="169"/>
      <c r="M119" s="169"/>
      <c r="N119" s="169"/>
    </row>
    <row r="120" customFormat="false" ht="16.5" hidden="false" customHeight="false" outlineLevel="0" collapsed="false">
      <c r="H120" s="169"/>
      <c r="I120" s="169"/>
      <c r="J120" s="169"/>
      <c r="K120" s="169"/>
      <c r="L120" s="169"/>
      <c r="M120" s="169"/>
      <c r="N120" s="169"/>
    </row>
    <row r="121" customFormat="false" ht="16.5" hidden="false" customHeight="false" outlineLevel="0" collapsed="false">
      <c r="H121" s="170"/>
      <c r="I121" s="170"/>
      <c r="J121" s="170"/>
      <c r="K121" s="170"/>
      <c r="L121" s="170"/>
      <c r="M121" s="170"/>
      <c r="N121" s="170"/>
    </row>
    <row r="122" customFormat="false" ht="16.5" hidden="false" customHeight="false" outlineLevel="0" collapsed="false">
      <c r="H122" s="169"/>
      <c r="I122" s="169"/>
      <c r="J122" s="169"/>
      <c r="K122" s="169"/>
      <c r="L122" s="169"/>
      <c r="M122" s="169"/>
      <c r="N122" s="169"/>
    </row>
    <row r="123" customFormat="false" ht="16.5" hidden="false" customHeight="false" outlineLevel="0" collapsed="false">
      <c r="H123" s="113"/>
      <c r="I123" s="113"/>
      <c r="J123" s="113"/>
      <c r="K123" s="113"/>
      <c r="L123" s="113"/>
      <c r="M123" s="113"/>
      <c r="N123" s="113"/>
    </row>
    <row r="124" customFormat="false" ht="16.5" hidden="false" customHeight="false" outlineLevel="0" collapsed="false">
      <c r="H124" s="113"/>
      <c r="I124" s="113"/>
      <c r="J124" s="113"/>
      <c r="K124" s="113"/>
      <c r="L124" s="113"/>
      <c r="M124" s="113"/>
      <c r="N124" s="113"/>
    </row>
    <row r="125" customFormat="false" ht="16.5" hidden="false" customHeight="false" outlineLevel="0" collapsed="false">
      <c r="H125" s="113"/>
      <c r="I125" s="113"/>
      <c r="J125" s="113"/>
      <c r="K125" s="113"/>
      <c r="L125" s="113"/>
      <c r="M125" s="113"/>
      <c r="N125" s="113"/>
    </row>
    <row r="126" customFormat="false" ht="16.5" hidden="false" customHeight="false" outlineLevel="0" collapsed="false">
      <c r="H126" s="113"/>
      <c r="I126" s="113"/>
      <c r="J126" s="113"/>
      <c r="K126" s="113"/>
      <c r="L126" s="113"/>
      <c r="M126" s="113"/>
      <c r="N126" s="113"/>
    </row>
    <row r="127" customFormat="false" ht="16.5" hidden="false" customHeight="false" outlineLevel="0" collapsed="false">
      <c r="H127" s="113"/>
      <c r="I127" s="113"/>
      <c r="J127" s="113"/>
      <c r="K127" s="113"/>
      <c r="L127" s="113"/>
      <c r="M127" s="113"/>
      <c r="N127" s="113"/>
    </row>
    <row r="128" customFormat="false" ht="16.5" hidden="false" customHeight="false" outlineLevel="0" collapsed="false">
      <c r="L128" s="161"/>
      <c r="M128" s="161"/>
      <c r="N128" s="161"/>
    </row>
    <row r="129" customFormat="false" ht="16.5" hidden="false" customHeight="false" outlineLevel="0" collapsed="false">
      <c r="L129" s="161"/>
      <c r="M129" s="161"/>
      <c r="N129" s="161"/>
    </row>
    <row r="130" customFormat="false" ht="16.5" hidden="false" customHeight="false" outlineLevel="0" collapsed="false">
      <c r="L130" s="161"/>
      <c r="M130" s="161"/>
      <c r="N130" s="161"/>
    </row>
    <row r="131" customFormat="false" ht="16.5" hidden="false" customHeight="false" outlineLevel="0" collapsed="false">
      <c r="L131" s="161"/>
      <c r="M131" s="161"/>
      <c r="N131" s="161"/>
    </row>
    <row r="132" customFormat="false" ht="16.5" hidden="false" customHeight="false" outlineLevel="0" collapsed="false">
      <c r="L132" s="161"/>
      <c r="M132" s="161"/>
      <c r="N132" s="161"/>
    </row>
    <row r="133" customFormat="false" ht="16.5" hidden="false" customHeight="false" outlineLevel="0" collapsed="false">
      <c r="L133" s="161"/>
      <c r="M133" s="161"/>
      <c r="N133" s="161"/>
    </row>
    <row r="134" customFormat="false" ht="16.5" hidden="false" customHeight="false" outlineLevel="0" collapsed="false">
      <c r="L134" s="161"/>
      <c r="M134" s="161"/>
      <c r="N134" s="161"/>
    </row>
    <row r="144" customFormat="false" ht="16.5" hidden="false" customHeight="false" outlineLevel="0" collapsed="false">
      <c r="H144" s="162"/>
      <c r="I144" s="162"/>
      <c r="J144" s="162"/>
      <c r="K144" s="162"/>
    </row>
    <row r="145" customFormat="false" ht="16.5" hidden="false" customHeight="false" outlineLevel="0" collapsed="false">
      <c r="H145" s="162"/>
      <c r="I145" s="162"/>
      <c r="J145" s="162"/>
      <c r="K145" s="162"/>
    </row>
    <row r="146" customFormat="false" ht="16.5" hidden="false" customHeight="false" outlineLevel="0" collapsed="false">
      <c r="H146" s="162"/>
      <c r="I146" s="162"/>
      <c r="J146" s="162"/>
      <c r="K146" s="162"/>
    </row>
    <row r="147" customFormat="false" ht="16.5" hidden="false" customHeight="false" outlineLevel="0" collapsed="false">
      <c r="H147" s="162"/>
      <c r="I147" s="162"/>
      <c r="J147" s="162"/>
      <c r="K147" s="162"/>
    </row>
    <row r="148" customFormat="false" ht="16.5" hidden="false" customHeight="false" outlineLevel="0" collapsed="false">
      <c r="H148" s="162"/>
      <c r="I148" s="162"/>
      <c r="J148" s="162"/>
      <c r="K148" s="162"/>
    </row>
    <row r="149" customFormat="false" ht="16.5" hidden="false" customHeight="false" outlineLevel="0" collapsed="false">
      <c r="H149" s="162"/>
      <c r="I149" s="162"/>
      <c r="J149" s="162"/>
      <c r="K149" s="162"/>
    </row>
    <row r="150" customFormat="false" ht="16.5" hidden="false" customHeight="false" outlineLevel="0" collapsed="false">
      <c r="H150" s="162"/>
      <c r="I150" s="162"/>
      <c r="J150" s="162"/>
      <c r="K150" s="162"/>
    </row>
    <row r="151" customFormat="false" ht="16.5" hidden="false" customHeight="false" outlineLevel="0" collapsed="false">
      <c r="H151" s="162"/>
      <c r="I151" s="162"/>
      <c r="J151" s="162"/>
      <c r="K151" s="162"/>
    </row>
    <row r="152" customFormat="false" ht="16.5" hidden="false" customHeight="false" outlineLevel="0" collapsed="false">
      <c r="H152" s="162"/>
      <c r="I152" s="162"/>
      <c r="J152" s="162"/>
      <c r="K152" s="162"/>
    </row>
    <row r="153" customFormat="false" ht="16.5" hidden="false" customHeight="false" outlineLevel="0" collapsed="false">
      <c r="H153" s="162"/>
      <c r="I153" s="162"/>
      <c r="J153" s="162"/>
      <c r="K153" s="162"/>
    </row>
  </sheetData>
  <mergeCells count="91">
    <mergeCell ref="B1:F1"/>
    <mergeCell ref="B2:D2"/>
    <mergeCell ref="B3:F3"/>
    <mergeCell ref="B4:F4"/>
    <mergeCell ref="B5:C5"/>
    <mergeCell ref="D5:F5"/>
    <mergeCell ref="B6:C6"/>
    <mergeCell ref="D6:E6"/>
    <mergeCell ref="B7:F7"/>
    <mergeCell ref="C8:E8"/>
    <mergeCell ref="D9:F9"/>
    <mergeCell ref="C10:E10"/>
    <mergeCell ref="C11:E11"/>
    <mergeCell ref="C12:E12"/>
    <mergeCell ref="C14:D14"/>
    <mergeCell ref="E14:F14"/>
    <mergeCell ref="D15:F15"/>
    <mergeCell ref="D16:F16"/>
    <mergeCell ref="C17:E17"/>
    <mergeCell ref="B18:F18"/>
    <mergeCell ref="C20:E20"/>
    <mergeCell ref="C21:E21"/>
    <mergeCell ref="C22:E22"/>
    <mergeCell ref="C23:E23"/>
    <mergeCell ref="C24:E24"/>
    <mergeCell ref="C25:E25"/>
    <mergeCell ref="B26:E26"/>
    <mergeCell ref="C29:D29"/>
    <mergeCell ref="C30:D30"/>
    <mergeCell ref="C31:D31"/>
    <mergeCell ref="B32:E32"/>
    <mergeCell ref="B33:F33"/>
    <mergeCell ref="C34:D34"/>
    <mergeCell ref="C35:D35"/>
    <mergeCell ref="C36:D36"/>
    <mergeCell ref="C37:D37"/>
    <mergeCell ref="C38:D38"/>
    <mergeCell ref="C39:D39"/>
    <mergeCell ref="C40:D40"/>
    <mergeCell ref="C41:D41"/>
    <mergeCell ref="C42:D42"/>
    <mergeCell ref="B43:E43"/>
    <mergeCell ref="C45:E45"/>
    <mergeCell ref="C46:E46"/>
    <mergeCell ref="C47:E47"/>
    <mergeCell ref="C48:E48"/>
    <mergeCell ref="C49:E49"/>
    <mergeCell ref="C50:E50"/>
    <mergeCell ref="B51:E51"/>
    <mergeCell ref="C53:D53"/>
    <mergeCell ref="C54:D54"/>
    <mergeCell ref="C55:D55"/>
    <mergeCell ref="C56:D56"/>
    <mergeCell ref="C57:D57"/>
    <mergeCell ref="C58:D58"/>
    <mergeCell ref="C59:D59"/>
    <mergeCell ref="B60:E60"/>
    <mergeCell ref="C63:D63"/>
    <mergeCell ref="C64:D64"/>
    <mergeCell ref="C65:D65"/>
    <mergeCell ref="C66:D66"/>
    <mergeCell ref="C67:D67"/>
    <mergeCell ref="C68:D68"/>
    <mergeCell ref="C69:D69"/>
    <mergeCell ref="B70:E70"/>
    <mergeCell ref="C72:E72"/>
    <mergeCell ref="C73:E73"/>
    <mergeCell ref="B74:E74"/>
    <mergeCell ref="C76:E76"/>
    <mergeCell ref="C77:E77"/>
    <mergeCell ref="C78:E78"/>
    <mergeCell ref="C79:E79"/>
    <mergeCell ref="C80:E80"/>
    <mergeCell ref="B81:E81"/>
    <mergeCell ref="B82:F82"/>
    <mergeCell ref="C83:D83"/>
    <mergeCell ref="C84:D84"/>
    <mergeCell ref="C85:D85"/>
    <mergeCell ref="C86:D86"/>
    <mergeCell ref="C87:D87"/>
    <mergeCell ref="C88:D88"/>
    <mergeCell ref="C89:D89"/>
    <mergeCell ref="B90:E90"/>
    <mergeCell ref="C92:E92"/>
    <mergeCell ref="C93:E93"/>
    <mergeCell ref="C94:E94"/>
    <mergeCell ref="C95:E95"/>
    <mergeCell ref="C96:E96"/>
    <mergeCell ref="C97:E97"/>
    <mergeCell ref="C98:E98"/>
    <mergeCell ref="B99:E99"/>
  </mergeCells>
  <printOptions headings="false" gridLines="false" gridLinesSet="true" horizontalCentered="true" verticalCentered="false"/>
  <pageMargins left="0.0798611111111111" right="0.05" top="0.196527777777778" bottom="0.157638888888889" header="0.511805555555555" footer="0.511805555555555"/>
  <pageSetup paperSize="9" scale="8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I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8" zeroHeight="false" outlineLevelRow="0" outlineLevelCol="0"/>
  <cols>
    <col collapsed="false" customWidth="true" hidden="false" outlineLevel="0" max="1" min="1" style="166" width="1.12"/>
    <col collapsed="false" customWidth="true" hidden="false" outlineLevel="0" max="2" min="2" style="161" width="20.71"/>
    <col collapsed="false" customWidth="true" hidden="false" outlineLevel="0" max="3" min="3" style="113" width="20.42"/>
    <col collapsed="false" customWidth="true" hidden="false" outlineLevel="0" max="4" min="4" style="161" width="18.58"/>
    <col collapsed="false" customWidth="true" hidden="false" outlineLevel="0" max="5" min="5" style="161" width="17.4"/>
    <col collapsed="false" customWidth="true" hidden="false" outlineLevel="0" max="6" min="6" style="161" width="19.01"/>
    <col collapsed="false" customWidth="true" hidden="false" outlineLevel="0" max="7" min="7" style="162" width="17.71"/>
    <col collapsed="false" customWidth="true" hidden="false" outlineLevel="0" max="8" min="8" style="162" width="18.85"/>
    <col collapsed="false" customWidth="true" hidden="false" outlineLevel="0" max="9" min="9" style="162" width="17.29"/>
    <col collapsed="false" customWidth="true" hidden="false" outlineLevel="0" max="257" min="10" style="166" width="9.13"/>
    <col collapsed="false" customWidth="true" hidden="false" outlineLevel="0" max="258" min="258" style="166" width="1.12"/>
    <col collapsed="false" customWidth="true" hidden="false" outlineLevel="0" max="259" min="259" style="166" width="20.71"/>
    <col collapsed="false" customWidth="true" hidden="false" outlineLevel="0" max="260" min="260" style="166" width="23.42"/>
    <col collapsed="false" customWidth="true" hidden="false" outlineLevel="0" max="261" min="261" style="166" width="20.57"/>
    <col collapsed="false" customWidth="true" hidden="false" outlineLevel="0" max="262" min="262" style="166" width="19.99"/>
    <col collapsed="false" customWidth="true" hidden="false" outlineLevel="0" max="263" min="263" style="166" width="23.15"/>
    <col collapsed="false" customWidth="true" hidden="false" outlineLevel="0" max="264" min="264" style="166" width="13.57"/>
    <col collapsed="false" customWidth="true" hidden="false" outlineLevel="0" max="265" min="265" style="166" width="17.29"/>
    <col collapsed="false" customWidth="true" hidden="false" outlineLevel="0" max="513" min="266" style="166" width="9.13"/>
    <col collapsed="false" customWidth="true" hidden="false" outlineLevel="0" max="514" min="514" style="166" width="1.12"/>
    <col collapsed="false" customWidth="true" hidden="false" outlineLevel="0" max="515" min="515" style="166" width="20.71"/>
    <col collapsed="false" customWidth="true" hidden="false" outlineLevel="0" max="516" min="516" style="166" width="23.42"/>
    <col collapsed="false" customWidth="true" hidden="false" outlineLevel="0" max="517" min="517" style="166" width="20.57"/>
    <col collapsed="false" customWidth="true" hidden="false" outlineLevel="0" max="518" min="518" style="166" width="19.99"/>
    <col collapsed="false" customWidth="true" hidden="false" outlineLevel="0" max="519" min="519" style="166" width="23.15"/>
    <col collapsed="false" customWidth="true" hidden="false" outlineLevel="0" max="520" min="520" style="166" width="13.57"/>
    <col collapsed="false" customWidth="true" hidden="false" outlineLevel="0" max="521" min="521" style="166" width="17.29"/>
    <col collapsed="false" customWidth="true" hidden="false" outlineLevel="0" max="769" min="522" style="166" width="9.13"/>
    <col collapsed="false" customWidth="true" hidden="false" outlineLevel="0" max="770" min="770" style="166" width="1.12"/>
    <col collapsed="false" customWidth="true" hidden="false" outlineLevel="0" max="771" min="771" style="166" width="20.71"/>
    <col collapsed="false" customWidth="true" hidden="false" outlineLevel="0" max="772" min="772" style="166" width="23.42"/>
    <col collapsed="false" customWidth="true" hidden="false" outlineLevel="0" max="773" min="773" style="166" width="20.57"/>
    <col collapsed="false" customWidth="true" hidden="false" outlineLevel="0" max="774" min="774" style="166" width="19.99"/>
    <col collapsed="false" customWidth="true" hidden="false" outlineLevel="0" max="775" min="775" style="166" width="23.15"/>
    <col collapsed="false" customWidth="true" hidden="false" outlineLevel="0" max="776" min="776" style="166" width="13.57"/>
    <col collapsed="false" customWidth="true" hidden="false" outlineLevel="0" max="777" min="777" style="166" width="17.29"/>
    <col collapsed="false" customWidth="true" hidden="false" outlineLevel="0" max="1025" min="778" style="166" width="9.13"/>
  </cols>
  <sheetData>
    <row r="1" s="171" customFormat="true" ht="17.35" hidden="false" customHeight="false" outlineLevel="0" collapsed="false">
      <c r="B1" s="172" t="str">
        <f aca="false">RAMO</f>
        <v>RAMO: MINISTÉRIO PÚBLICO FEDERAL</v>
      </c>
      <c r="C1" s="172"/>
      <c r="D1" s="172"/>
      <c r="E1" s="172"/>
      <c r="F1" s="172"/>
      <c r="G1" s="172"/>
      <c r="H1" s="172"/>
      <c r="I1" s="172"/>
    </row>
    <row r="2" s="171" customFormat="true" ht="17.35" hidden="false" customHeight="false" outlineLevel="0" collapsed="false">
      <c r="B2" s="173" t="str">
        <f aca="false">UG</f>
        <v>UNIDADE GESTORA (SIGLA): PRMS</v>
      </c>
      <c r="C2" s="173"/>
      <c r="D2" s="173"/>
      <c r="E2" s="173"/>
      <c r="F2" s="173"/>
      <c r="G2" s="173"/>
      <c r="H2" s="116" t="s">
        <v>2</v>
      </c>
      <c r="I2" s="117" t="str">
        <f aca="false">IF(DATA_DO_ORCAMENTO_ESTIMATIVO="","",DATA_DO_ORCAMENTO_ESTIMATIVO)</f>
        <v/>
      </c>
    </row>
    <row r="3" customFormat="false" ht="9" hidden="false" customHeight="true" outlineLevel="0" collapsed="false"/>
    <row r="4" customFormat="false" ht="17.35" hidden="false" customHeight="false" outlineLevel="0" collapsed="false">
      <c r="B4" s="174" t="s">
        <v>264</v>
      </c>
      <c r="C4" s="174"/>
      <c r="D4" s="174"/>
      <c r="E4" s="174"/>
      <c r="F4" s="174"/>
      <c r="G4" s="174"/>
      <c r="H4" s="174"/>
      <c r="I4" s="174"/>
    </row>
    <row r="5" customFormat="false" ht="15" hidden="false" customHeight="true" outlineLevel="0" collapsed="false">
      <c r="B5" s="175" t="s">
        <v>265</v>
      </c>
      <c r="C5" s="175"/>
      <c r="D5" s="175"/>
      <c r="E5" s="175"/>
      <c r="F5" s="175"/>
      <c r="G5" s="175"/>
      <c r="H5" s="175"/>
      <c r="I5" s="175"/>
    </row>
    <row r="6" s="176" customFormat="true" ht="10.5" hidden="false" customHeight="true" outlineLevel="0" collapsed="false">
      <c r="B6" s="177"/>
      <c r="C6" s="178"/>
      <c r="D6" s="177"/>
      <c r="E6" s="177"/>
      <c r="F6" s="177"/>
      <c r="G6" s="177"/>
      <c r="H6" s="177"/>
      <c r="I6" s="177"/>
    </row>
    <row r="7" customFormat="false" ht="15" hidden="false" customHeight="true" outlineLevel="0" collapsed="false">
      <c r="B7" s="175" t="s">
        <v>308</v>
      </c>
      <c r="C7" s="175"/>
      <c r="D7" s="175"/>
      <c r="E7" s="175"/>
      <c r="F7" s="175"/>
      <c r="G7" s="175"/>
      <c r="H7" s="175"/>
      <c r="I7" s="175"/>
    </row>
    <row r="8" customFormat="false" ht="14.25" hidden="false" customHeight="true" outlineLevel="0" collapsed="false">
      <c r="B8" s="179" t="s">
        <v>267</v>
      </c>
      <c r="C8" s="179"/>
      <c r="D8" s="179"/>
      <c r="E8" s="179"/>
      <c r="F8" s="179"/>
      <c r="G8" s="179"/>
      <c r="H8" s="179"/>
      <c r="I8" s="179"/>
    </row>
    <row r="9" customFormat="false" ht="15.75" hidden="false" customHeight="true" outlineLevel="0" collapsed="false">
      <c r="B9" s="179"/>
      <c r="C9" s="179"/>
      <c r="D9" s="179"/>
      <c r="E9" s="179"/>
      <c r="F9" s="179"/>
      <c r="G9" s="179"/>
      <c r="H9" s="179"/>
      <c r="I9" s="179"/>
    </row>
    <row r="10" customFormat="false" ht="12.75" hidden="false" customHeight="true" outlineLevel="0" collapsed="false">
      <c r="A10" s="180"/>
      <c r="B10" s="19" t="s">
        <v>268</v>
      </c>
      <c r="C10" s="47" t="s">
        <v>269</v>
      </c>
      <c r="D10" s="47" t="s">
        <v>270</v>
      </c>
      <c r="E10" s="47" t="s">
        <v>271</v>
      </c>
      <c r="F10" s="47" t="s">
        <v>272</v>
      </c>
      <c r="G10" s="181"/>
      <c r="I10" s="166"/>
    </row>
    <row r="11" customFormat="false" ht="21" hidden="false" customHeight="true" outlineLevel="0" collapsed="false">
      <c r="A11" s="180"/>
      <c r="B11" s="19"/>
      <c r="C11" s="47"/>
      <c r="D11" s="47"/>
      <c r="E11" s="47"/>
      <c r="F11" s="47"/>
      <c r="G11" s="181"/>
      <c r="I11" s="166"/>
    </row>
    <row r="12" customFormat="false" ht="15.75" hidden="false" customHeight="false" outlineLevel="0" collapsed="false">
      <c r="A12" s="180"/>
      <c r="B12" s="84" t="s">
        <v>275</v>
      </c>
      <c r="C12" s="88" t="s">
        <v>274</v>
      </c>
      <c r="D12" s="183" t="n">
        <f aca="false">1/'INSERÇÃO-DE-DADOS_PRODUTIVIDADE'!K9</f>
        <v>0.00125</v>
      </c>
      <c r="E12" s="184" t="n">
        <f aca="false">'SERVENTE DOU'!F99</f>
        <v>3196.66420100192</v>
      </c>
      <c r="F12" s="185" t="n">
        <f aca="false">D12*E12</f>
        <v>3.9958302512524</v>
      </c>
      <c r="G12" s="181"/>
      <c r="I12" s="166"/>
    </row>
    <row r="13" customFormat="false" ht="15.75" hidden="false" customHeight="false" outlineLevel="0" collapsed="false">
      <c r="A13" s="180"/>
      <c r="B13" s="84" t="s">
        <v>275</v>
      </c>
      <c r="C13" s="88" t="s">
        <v>277</v>
      </c>
      <c r="D13" s="183" t="n">
        <f aca="false">1/'INSERÇÃO-DE-DADOS_PRODUTIVIDADE'!K10</f>
        <v>0.000666666666666667</v>
      </c>
      <c r="E13" s="184" t="n">
        <f aca="false">'SERVENTE DOU'!F99</f>
        <v>3196.66420100192</v>
      </c>
      <c r="F13" s="185" t="n">
        <f aca="false">D13*E13</f>
        <v>2.13110946733461</v>
      </c>
      <c r="G13" s="181"/>
      <c r="I13" s="166"/>
    </row>
    <row r="14" customFormat="false" ht="15.75" hidden="false" customHeight="false" outlineLevel="0" collapsed="false">
      <c r="A14" s="180"/>
      <c r="B14" s="84" t="s">
        <v>275</v>
      </c>
      <c r="C14" s="88" t="s">
        <v>279</v>
      </c>
      <c r="D14" s="183" t="n">
        <f aca="false">1/'INSERÇÃO-DE-DADOS_PRODUTIVIDADE'!K11</f>
        <v>0.005</v>
      </c>
      <c r="E14" s="184" t="n">
        <f aca="false">'SERVENTE DOU'!F99</f>
        <v>3196.66420100192</v>
      </c>
      <c r="F14" s="185" t="n">
        <f aca="false">D14*E14</f>
        <v>15.9833210050096</v>
      </c>
      <c r="G14" s="181"/>
      <c r="I14" s="166"/>
    </row>
    <row r="15" customFormat="false" ht="3.75" hidden="false" customHeight="true" outlineLevel="0" collapsed="false">
      <c r="B15" s="182"/>
      <c r="C15" s="188"/>
      <c r="D15" s="189"/>
      <c r="E15" s="189"/>
      <c r="F15" s="189"/>
      <c r="G15" s="190"/>
      <c r="I15" s="166"/>
    </row>
    <row r="16" s="191" customFormat="true" ht="15.75" hidden="false" customHeight="true" outlineLevel="0" collapsed="false">
      <c r="B16" s="179" t="s">
        <v>309</v>
      </c>
      <c r="C16" s="179"/>
      <c r="D16" s="179"/>
      <c r="E16" s="179"/>
      <c r="F16" s="179"/>
      <c r="G16" s="179"/>
      <c r="H16" s="179"/>
      <c r="I16" s="179"/>
    </row>
    <row r="17" s="191" customFormat="true" ht="12.8" hidden="false" customHeight="false" outlineLevel="0" collapsed="false">
      <c r="B17" s="179"/>
      <c r="C17" s="179"/>
      <c r="D17" s="179"/>
      <c r="E17" s="179"/>
      <c r="F17" s="179"/>
      <c r="G17" s="179"/>
      <c r="H17" s="179"/>
      <c r="I17" s="179"/>
    </row>
    <row r="18" customFormat="false" ht="12.8" hidden="false" customHeight="true" outlineLevel="0" collapsed="false">
      <c r="A18" s="180"/>
      <c r="B18" s="19" t="s">
        <v>268</v>
      </c>
      <c r="C18" s="47" t="s">
        <v>269</v>
      </c>
      <c r="D18" s="47" t="s">
        <v>270</v>
      </c>
      <c r="E18" s="47" t="s">
        <v>271</v>
      </c>
      <c r="F18" s="47" t="s">
        <v>272</v>
      </c>
      <c r="G18" s="181"/>
    </row>
    <row r="19" customFormat="false" ht="31.5" hidden="false" customHeight="true" outlineLevel="0" collapsed="false">
      <c r="A19" s="180"/>
      <c r="B19" s="19"/>
      <c r="C19" s="47"/>
      <c r="D19" s="47"/>
      <c r="E19" s="47"/>
      <c r="F19" s="47"/>
      <c r="G19" s="181"/>
      <c r="H19" s="161"/>
    </row>
    <row r="20" customFormat="false" ht="15.75" hidden="false" customHeight="false" outlineLevel="0" collapsed="false">
      <c r="A20" s="180"/>
      <c r="B20" s="84" t="s">
        <v>275</v>
      </c>
      <c r="C20" s="88" t="s">
        <v>282</v>
      </c>
      <c r="D20" s="183" t="n">
        <f aca="false">1/'INSERÇÃO-DE-DADOS_PRODUTIVIDADE'!K12</f>
        <v>0.000555555555555556</v>
      </c>
      <c r="E20" s="184" t="n">
        <f aca="false">'SERVENTE DOU'!F99</f>
        <v>3196.66420100192</v>
      </c>
      <c r="F20" s="185" t="n">
        <f aca="false">D20*E20</f>
        <v>1.77592455611218</v>
      </c>
      <c r="G20" s="181"/>
      <c r="H20" s="161"/>
    </row>
    <row r="21" customFormat="false" ht="46.4" hidden="false" customHeight="false" outlineLevel="0" collapsed="false">
      <c r="A21" s="180"/>
      <c r="B21" s="84" t="s">
        <v>275</v>
      </c>
      <c r="C21" s="88" t="s">
        <v>284</v>
      </c>
      <c r="D21" s="183" t="n">
        <f aca="false">1/'INSERÇÃO-DE-DADOS_PRODUTIVIDADE'!K13</f>
        <v>0.000166666666666667</v>
      </c>
      <c r="E21" s="184" t="n">
        <f aca="false">'SERVENTE DOU'!F99</f>
        <v>3196.66420100192</v>
      </c>
      <c r="F21" s="185" t="n">
        <f aca="false">D21*E21</f>
        <v>0.532777366833655</v>
      </c>
      <c r="G21" s="181"/>
      <c r="H21" s="161"/>
    </row>
    <row r="22" customFormat="false" ht="15.75" hidden="false" customHeight="false" outlineLevel="0" collapsed="false">
      <c r="A22" s="180"/>
      <c r="B22" s="84" t="s">
        <v>275</v>
      </c>
      <c r="C22" s="88" t="s">
        <v>286</v>
      </c>
      <c r="D22" s="183" t="n">
        <f aca="false">1/'INSERÇÃO-DE-DADOS_PRODUTIVIDADE'!K14</f>
        <v>0.000555555555555556</v>
      </c>
      <c r="E22" s="184" t="n">
        <f aca="false">'SERVENTE DOU'!F99</f>
        <v>3196.66420100192</v>
      </c>
      <c r="F22" s="185" t="n">
        <f aca="false">D22*E22</f>
        <v>1.77592455611218</v>
      </c>
      <c r="G22" s="181"/>
      <c r="H22" s="161"/>
    </row>
    <row r="23" customFormat="false" ht="3.75" hidden="false" customHeight="true" outlineLevel="0" collapsed="false">
      <c r="B23" s="182"/>
      <c r="C23" s="188"/>
      <c r="D23" s="189"/>
      <c r="E23" s="189"/>
      <c r="F23" s="189"/>
      <c r="G23" s="193"/>
      <c r="H23" s="181"/>
      <c r="I23" s="181"/>
    </row>
    <row r="24" s="191" customFormat="true" ht="12.75" hidden="false" customHeight="true" outlineLevel="0" collapsed="false">
      <c r="B24" s="179" t="s">
        <v>287</v>
      </c>
      <c r="C24" s="179"/>
      <c r="D24" s="179"/>
      <c r="E24" s="179"/>
      <c r="F24" s="179"/>
      <c r="G24" s="179"/>
      <c r="H24" s="179"/>
      <c r="I24" s="179"/>
    </row>
    <row r="25" s="191" customFormat="true" ht="15.75" hidden="false" customHeight="true" outlineLevel="0" collapsed="false">
      <c r="B25" s="179"/>
      <c r="C25" s="179"/>
      <c r="D25" s="179"/>
      <c r="E25" s="179"/>
      <c r="F25" s="179"/>
      <c r="G25" s="179"/>
      <c r="H25" s="179"/>
      <c r="I25" s="179"/>
    </row>
    <row r="26" customFormat="false" ht="12.8" hidden="false" customHeight="true" outlineLevel="0" collapsed="false">
      <c r="A26" s="180"/>
      <c r="B26" s="19" t="s">
        <v>268</v>
      </c>
      <c r="C26" s="47" t="s">
        <v>269</v>
      </c>
      <c r="D26" s="47" t="s">
        <v>270</v>
      </c>
      <c r="E26" s="47" t="s">
        <v>288</v>
      </c>
      <c r="F26" s="47" t="s">
        <v>289</v>
      </c>
      <c r="G26" s="47" t="s">
        <v>290</v>
      </c>
      <c r="H26" s="47" t="s">
        <v>291</v>
      </c>
      <c r="I26" s="47" t="s">
        <v>292</v>
      </c>
    </row>
    <row r="27" customFormat="false" ht="12.8" hidden="false" customHeight="false" outlineLevel="0" collapsed="false">
      <c r="A27" s="180"/>
      <c r="B27" s="19"/>
      <c r="C27" s="47"/>
      <c r="D27" s="47"/>
      <c r="E27" s="47"/>
      <c r="F27" s="47"/>
      <c r="G27" s="47"/>
      <c r="H27" s="47"/>
      <c r="I27" s="47"/>
    </row>
    <row r="28" customFormat="false" ht="36" hidden="false" customHeight="true" outlineLevel="0" collapsed="false">
      <c r="A28" s="180"/>
      <c r="B28" s="19"/>
      <c r="C28" s="47"/>
      <c r="D28" s="47"/>
      <c r="E28" s="47"/>
      <c r="F28" s="47"/>
      <c r="G28" s="47"/>
      <c r="H28" s="47"/>
      <c r="I28" s="47"/>
    </row>
    <row r="29" customFormat="false" ht="15.75" hidden="false" customHeight="false" outlineLevel="0" collapsed="false">
      <c r="A29" s="180"/>
      <c r="B29" s="84" t="s">
        <v>275</v>
      </c>
      <c r="C29" s="88" t="s">
        <v>293</v>
      </c>
      <c r="D29" s="183" t="n">
        <f aca="false">1/'INSERÇÃO-DE-DADOS_PRODUTIVIDADE'!K15</f>
        <v>0.00333333333333333</v>
      </c>
      <c r="E29" s="194" t="n">
        <f aca="false">'INSERÇÃO-DE-DADOS_PRODUTIVIDADE'!P15</f>
        <v>16</v>
      </c>
      <c r="F29" s="195" t="n">
        <f aca="false">1/((DIAS_NO_MES/DIAS_NA_SEMANA)*CARGA_HORARIA_SEMANAL)</f>
        <v>0.0053030303030303</v>
      </c>
      <c r="G29" s="195" t="n">
        <f aca="false">D29*E29*F29</f>
        <v>0.000282828282828283</v>
      </c>
      <c r="H29" s="184" t="n">
        <f aca="false">'SERVENTE DOU'!F99</f>
        <v>3196.66420100192</v>
      </c>
      <c r="I29" s="185" t="n">
        <f aca="false">G29*H29</f>
        <v>0.904107046748019</v>
      </c>
    </row>
    <row r="30" customFormat="false" ht="15.75" hidden="false" customHeight="false" outlineLevel="0" collapsed="false">
      <c r="A30" s="180"/>
      <c r="B30" s="84"/>
      <c r="C30" s="88" t="s">
        <v>294</v>
      </c>
      <c r="D30" s="183" t="n">
        <f aca="false">1/'INSERÇÃO-DE-DADOS_PRODUTIVIDADE'!K16</f>
        <v>0.00333333333333333</v>
      </c>
      <c r="E30" s="194" t="n">
        <f aca="false">'INSERÇÃO-DE-DADOS_PRODUTIVIDADE'!P16</f>
        <v>16</v>
      </c>
      <c r="F30" s="195" t="n">
        <f aca="false">1/((DIAS_NO_MES/DIAS_NA_SEMANA)*CARGA_HORARIA_SEMANAL)</f>
        <v>0.0053030303030303</v>
      </c>
      <c r="G30" s="195" t="n">
        <f aca="false">D30*E30*F30</f>
        <v>0.000282828282828283</v>
      </c>
      <c r="H30" s="184" t="n">
        <f aca="false">'SERVENTE DOU'!F99</f>
        <v>3196.66420100192</v>
      </c>
      <c r="I30" s="185" t="n">
        <f aca="false">G30*H30</f>
        <v>0.904107046748019</v>
      </c>
    </row>
    <row r="31" customFormat="false" ht="10.25" hidden="false" customHeight="true" outlineLevel="0" collapsed="false">
      <c r="A31" s="180"/>
      <c r="B31" s="182"/>
      <c r="C31" s="188"/>
      <c r="D31" s="189"/>
      <c r="E31" s="189"/>
      <c r="F31" s="189"/>
      <c r="G31" s="189"/>
      <c r="H31" s="189"/>
      <c r="I31" s="189"/>
    </row>
    <row r="32" customFormat="false" ht="9" hidden="false" customHeight="true" outlineLevel="0" collapsed="false">
      <c r="B32" s="182"/>
      <c r="C32" s="188"/>
      <c r="D32" s="189"/>
      <c r="E32" s="189"/>
      <c r="F32" s="189"/>
      <c r="G32" s="193"/>
      <c r="H32" s="161"/>
    </row>
    <row r="33" s="191" customFormat="true" ht="13.5" hidden="false" customHeight="true" outlineLevel="0" collapsed="false">
      <c r="B33" s="199" t="s">
        <v>297</v>
      </c>
      <c r="C33" s="199"/>
      <c r="D33" s="199"/>
      <c r="E33" s="199"/>
      <c r="F33" s="199"/>
      <c r="G33" s="166"/>
      <c r="H33" s="166"/>
    </row>
    <row r="34" s="166" customFormat="true" ht="13.5" hidden="false" customHeight="true" outlineLevel="0" collapsed="false">
      <c r="B34" s="202"/>
      <c r="C34" s="202"/>
      <c r="D34" s="202"/>
      <c r="E34" s="202"/>
      <c r="F34" s="202"/>
    </row>
    <row r="35" s="166" customFormat="true" ht="27" hidden="false" customHeight="true" outlineLevel="0" collapsed="false">
      <c r="B35" s="47" t="s">
        <v>269</v>
      </c>
      <c r="C35" s="47"/>
      <c r="D35" s="47" t="s">
        <v>298</v>
      </c>
      <c r="E35" s="47" t="s">
        <v>299</v>
      </c>
      <c r="F35" s="47" t="s">
        <v>300</v>
      </c>
    </row>
    <row r="36" s="166" customFormat="true" ht="27" hidden="false" customHeight="true" outlineLevel="0" collapsed="false">
      <c r="B36" s="47"/>
      <c r="C36" s="47"/>
      <c r="D36" s="47"/>
      <c r="E36" s="47"/>
      <c r="F36" s="47"/>
    </row>
    <row r="37" s="166" customFormat="true" ht="45.6" hidden="false" customHeight="true" outlineLevel="0" collapsed="false">
      <c r="B37" s="47"/>
      <c r="C37" s="47"/>
      <c r="D37" s="47" t="s">
        <v>135</v>
      </c>
      <c r="E37" s="47" t="s">
        <v>310</v>
      </c>
      <c r="F37" s="47" t="s">
        <v>302</v>
      </c>
    </row>
    <row r="38" s="166" customFormat="true" ht="19.3" hidden="false" customHeight="true" outlineLevel="0" collapsed="false">
      <c r="B38" s="84" t="s">
        <v>303</v>
      </c>
      <c r="C38" s="88" t="s">
        <v>274</v>
      </c>
      <c r="D38" s="205" t="n">
        <f aca="false">'INSERÇÃO-DE-DADOS_PRODUTIVIDADE'!E9</f>
        <v>1052.84</v>
      </c>
      <c r="E38" s="206" t="n">
        <f aca="false">F12</f>
        <v>3.9958302512524</v>
      </c>
      <c r="F38" s="207" t="n">
        <f aca="false">D38*E38</f>
        <v>4206.96992172858</v>
      </c>
    </row>
    <row r="39" s="166" customFormat="true" ht="19.3" hidden="false" customHeight="true" outlineLevel="0" collapsed="false">
      <c r="B39" s="84"/>
      <c r="C39" s="88" t="s">
        <v>277</v>
      </c>
      <c r="D39" s="205" t="n">
        <f aca="false">'INSERÇÃO-DE-DADOS_PRODUTIVIDADE'!E10</f>
        <v>0</v>
      </c>
      <c r="E39" s="206" t="n">
        <f aca="false">F13</f>
        <v>2.13110946733461</v>
      </c>
      <c r="F39" s="207" t="n">
        <f aca="false">D39*E39</f>
        <v>0</v>
      </c>
    </row>
    <row r="40" s="166" customFormat="true" ht="19.3" hidden="false" customHeight="true" outlineLevel="0" collapsed="false">
      <c r="B40" s="84"/>
      <c r="C40" s="88" t="s">
        <v>279</v>
      </c>
      <c r="D40" s="205" t="n">
        <f aca="false">'INSERÇÃO-DE-DADOS_PRODUTIVIDADE'!E11</f>
        <v>75.87</v>
      </c>
      <c r="E40" s="206" t="n">
        <f aca="false">F14</f>
        <v>15.9833210050096</v>
      </c>
      <c r="F40" s="207" t="n">
        <f aca="false">D40*E40</f>
        <v>1212.65456465008</v>
      </c>
    </row>
    <row r="41" s="166" customFormat="true" ht="19.3" hidden="false" customHeight="true" outlineLevel="0" collapsed="false">
      <c r="B41" s="84" t="s">
        <v>304</v>
      </c>
      <c r="C41" s="88" t="s">
        <v>282</v>
      </c>
      <c r="D41" s="205" t="n">
        <f aca="false">'INSERÇÃO-DE-DADOS_PRODUTIVIDADE'!E12</f>
        <v>587.91</v>
      </c>
      <c r="E41" s="205" t="n">
        <f aca="false">F20</f>
        <v>1.77592455611218</v>
      </c>
      <c r="F41" s="207" t="n">
        <f aca="false">D41*E41</f>
        <v>1044.08380578391</v>
      </c>
    </row>
    <row r="42" s="166" customFormat="true" ht="49.15" hidden="false" customHeight="true" outlineLevel="0" collapsed="false">
      <c r="B42" s="84"/>
      <c r="C42" s="88" t="s">
        <v>284</v>
      </c>
      <c r="D42" s="205" t="n">
        <f aca="false">'INSERÇÃO-DE-DADOS_PRODUTIVIDADE'!E13</f>
        <v>1254.66</v>
      </c>
      <c r="E42" s="205" t="n">
        <f aca="false">F21</f>
        <v>0.532777366833655</v>
      </c>
      <c r="F42" s="207" t="n">
        <f aca="false">D42*E42</f>
        <v>668.454451071513</v>
      </c>
    </row>
    <row r="43" s="166" customFormat="true" ht="19.3" hidden="false" customHeight="true" outlineLevel="0" collapsed="false">
      <c r="B43" s="84"/>
      <c r="C43" s="88" t="s">
        <v>286</v>
      </c>
      <c r="D43" s="205" t="n">
        <f aca="false">'INSERÇÃO-DE-DADOS_PRODUTIVIDADE'!E14</f>
        <v>97.16</v>
      </c>
      <c r="E43" s="205" t="n">
        <f aca="false">F22</f>
        <v>1.77592455611218</v>
      </c>
      <c r="F43" s="207" t="n">
        <f aca="false">D43*E43</f>
        <v>172.548829871859</v>
      </c>
    </row>
    <row r="44" s="166" customFormat="true" ht="19.3" hidden="false" customHeight="true" outlineLevel="0" collapsed="false">
      <c r="B44" s="84" t="s">
        <v>305</v>
      </c>
      <c r="C44" s="88" t="s">
        <v>293</v>
      </c>
      <c r="D44" s="205" t="n">
        <f aca="false">'INSERÇÃO-DE-DADOS_PRODUTIVIDADE'!E15</f>
        <v>156.91</v>
      </c>
      <c r="E44" s="206" t="n">
        <f aca="false">I29</f>
        <v>0.904107046748019</v>
      </c>
      <c r="F44" s="207" t="n">
        <f aca="false">D44*E44</f>
        <v>141.863436705232</v>
      </c>
    </row>
    <row r="45" s="166" customFormat="true" ht="19.3" hidden="false" customHeight="true" outlineLevel="0" collapsed="false">
      <c r="B45" s="84"/>
      <c r="C45" s="88" t="s">
        <v>294</v>
      </c>
      <c r="D45" s="205" t="n">
        <f aca="false">'INSERÇÃO-DE-DADOS_PRODUTIVIDADE'!E16</f>
        <v>156.91</v>
      </c>
      <c r="E45" s="206" t="n">
        <f aca="false">I30</f>
        <v>0.904107046748019</v>
      </c>
      <c r="F45" s="207" t="n">
        <f aca="false">D45*E45</f>
        <v>141.863436705232</v>
      </c>
    </row>
    <row r="46" s="166" customFormat="true" ht="16.65" hidden="false" customHeight="true" outlineLevel="0" collapsed="false">
      <c r="B46" s="208" t="s">
        <v>311</v>
      </c>
      <c r="C46" s="208"/>
      <c r="D46" s="208"/>
      <c r="E46" s="208"/>
      <c r="F46" s="209" t="n">
        <f aca="false">SUM(F38:F45)</f>
        <v>7588.4384465164</v>
      </c>
    </row>
    <row r="47" customFormat="false" ht="13.8" hidden="false" customHeight="false" outlineLevel="0" collapsed="false">
      <c r="G47" s="166"/>
      <c r="H47" s="166"/>
    </row>
    <row r="48" s="191" customFormat="true" ht="13.5" hidden="false" customHeight="true" outlineLevel="0" collapsed="false">
      <c r="C48" s="210"/>
    </row>
    <row r="49" customFormat="false" ht="13.5" hidden="false" customHeight="true" outlineLevel="0" collapsed="false">
      <c r="I49" s="166"/>
    </row>
    <row r="50" customFormat="false" ht="14.25" hidden="false" customHeight="true" outlineLevel="0" collapsed="false">
      <c r="I50" s="166"/>
    </row>
    <row r="51" customFormat="false" ht="13.8" hidden="false" customHeight="false" outlineLevel="0" collapsed="false">
      <c r="I51" s="166"/>
    </row>
    <row r="52" customFormat="false" ht="13.8" hidden="false" customHeight="false" outlineLevel="0" collapsed="false">
      <c r="I52" s="166"/>
    </row>
    <row r="53" customFormat="false" ht="13.8" hidden="false" customHeight="false" outlineLevel="0" collapsed="false">
      <c r="I53" s="166"/>
    </row>
    <row r="54" customFormat="false" ht="36" hidden="false" customHeight="true" outlineLevel="0" collapsed="false">
      <c r="I54" s="166"/>
    </row>
    <row r="55" customFormat="false" ht="13.8" hidden="false" customHeight="false" outlineLevel="0" collapsed="false">
      <c r="I55" s="166"/>
    </row>
    <row r="56" customFormat="false" ht="49.5" hidden="false" customHeight="true" outlineLevel="0" collapsed="false">
      <c r="I56" s="166"/>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6">
    <mergeCell ref="B1:I1"/>
    <mergeCell ref="B2:G2"/>
    <mergeCell ref="B4:I4"/>
    <mergeCell ref="B5:I5"/>
    <mergeCell ref="B7:I7"/>
    <mergeCell ref="B8:I9"/>
    <mergeCell ref="B10:B11"/>
    <mergeCell ref="C10:C11"/>
    <mergeCell ref="D10:D11"/>
    <mergeCell ref="E10:E11"/>
    <mergeCell ref="F10:F11"/>
    <mergeCell ref="B16:I17"/>
    <mergeCell ref="B18:B19"/>
    <mergeCell ref="C18:C19"/>
    <mergeCell ref="D18:D19"/>
    <mergeCell ref="E18:E19"/>
    <mergeCell ref="F18:F19"/>
    <mergeCell ref="B24:I25"/>
    <mergeCell ref="B26:B28"/>
    <mergeCell ref="C26:C28"/>
    <mergeCell ref="D26:D28"/>
    <mergeCell ref="E26:E28"/>
    <mergeCell ref="F26:F28"/>
    <mergeCell ref="G26:G28"/>
    <mergeCell ref="H26:H28"/>
    <mergeCell ref="I26:I28"/>
    <mergeCell ref="B29:B30"/>
    <mergeCell ref="B33:F33"/>
    <mergeCell ref="B35:C37"/>
    <mergeCell ref="D35:D36"/>
    <mergeCell ref="E35:E36"/>
    <mergeCell ref="F35:F36"/>
    <mergeCell ref="B38:B40"/>
    <mergeCell ref="B41:B43"/>
    <mergeCell ref="B44:B45"/>
    <mergeCell ref="B46:E46"/>
  </mergeCells>
  <printOptions headings="false" gridLines="false" gridLinesSet="true" horizontalCentered="false" verticalCentered="false"/>
  <pageMargins left="0.511805555555555" right="0.511805555555555" top="0.7875" bottom="0.7875" header="0.511805555555555" footer="0.511805555555555"/>
  <pageSetup paperSize="9" scale="91"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2322</TotalTime>
  <Application>LibreOffice/6.1.4.2$Windows_X86_64 LibreOffice_project/9d0f32d1f0b509096fd65e0d4bec26ddd1938fd3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2014-02-07T18:14:59Z</dcterms:created>
  <dc:creator>André Felipe Flores da Silva</dc:creator>
  <dc:description/>
  <dc:language>pt-BR</dc:language>
  <cp:lastModifiedBy>PRMS MPF</cp:lastModifiedBy>
  <cp:lastPrinted>2019-11-19T15:54:51Z</cp:lastPrinted>
  <dcterms:modified xsi:type="dcterms:W3CDTF">2019-12-13T15:56:54Z</dcterms:modified>
  <cp:revision>167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