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emf" ContentType="image/x-e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EstaPasta_de_trabalho" defaultThemeVersion="164011"/>
  <mc:AlternateContent xmlns:mc="http://schemas.openxmlformats.org/markup-compatibility/2006">
    <mc:Choice Requires="x15">
      <x15ac:absPath xmlns:x15ac="http://schemas.microsoft.com/office/spreadsheetml/2010/11/ac" url="G:\PGR_SG_SEA\PR - ESTADOS\PARÁ\PRM-SANTARÉM\Energia Fotovoltaica\"/>
    </mc:Choice>
  </mc:AlternateContent>
  <bookViews>
    <workbookView xWindow="0" yWindow="0" windowWidth="28800" windowHeight="12300" tabRatio="753" activeTab="1"/>
  </bookViews>
  <sheets>
    <sheet name="INSTRUÇÕES" sheetId="9" r:id="rId1"/>
    <sheet name="SINTÉTICA" sheetId="1" r:id="rId2"/>
    <sheet name="ANALÍTICA" sheetId="2" r:id="rId3"/>
    <sheet name="ANALÍTICA AUXILIARES" sheetId="6" r:id="rId4"/>
    <sheet name="INSUMOS" sheetId="3" r:id="rId5"/>
    <sheet name="BDI" sheetId="7" r:id="rId6"/>
    <sheet name="CRONOGRAMA" sheetId="8" r:id="rId7"/>
  </sheets>
  <definedNames>
    <definedName name="_xlnm._FilterDatabase" localSheetId="3" hidden="1">'ANALÍTICA AUXILIARES'!$A$17:$K$27</definedName>
    <definedName name="_xlnm.Print_Area" localSheetId="2">ANALÍTICA!$A$1:$J$306</definedName>
    <definedName name="_xlnm.Print_Area" localSheetId="3">'ANALÍTICA AUXILIARES'!$A$1:$J$238</definedName>
    <definedName name="_xlnm.Print_Area" localSheetId="5">BDI!$A$1:$D$37</definedName>
    <definedName name="_xlnm.Print_Area" localSheetId="6">CRONOGRAMA!$A$1:$I$23</definedName>
    <definedName name="_xlnm.Print_Area" localSheetId="0">INSTRUÇÕES!$A$1:$D$22</definedName>
    <definedName name="_xlnm.Print_Area" localSheetId="4">INSUMOS!$A$1:$I$86</definedName>
    <definedName name="_xlnm.Print_Area" localSheetId="1">SINTÉTICA!$A$1:$J$63</definedName>
    <definedName name="_xlnm.Print_Titles" localSheetId="2">ANALÍTICA!$13:$14</definedName>
    <definedName name="_xlnm.Print_Titles" localSheetId="3">'ANALÍTICA AUXILIARES'!$13:$14</definedName>
    <definedName name="_xlnm.Print_Titles" localSheetId="4">INSUMOS!$9:$10</definedName>
    <definedName name="_xlnm.Print_Titles" localSheetId="1">SINTÉTICA!$13:$14</definedName>
  </definedNames>
  <calcPr calcId="162913"/>
</workbook>
</file>

<file path=xl/calcChain.xml><?xml version="1.0" encoding="utf-8"?>
<calcChain xmlns="http://schemas.openxmlformats.org/spreadsheetml/2006/main">
  <c r="B17" i="8" l="1"/>
  <c r="B15" i="8"/>
  <c r="B13" i="8"/>
  <c r="B11" i="8"/>
  <c r="B9" i="8"/>
  <c r="E10" i="6"/>
  <c r="E10" i="2"/>
  <c r="L226" i="6"/>
  <c r="M226" i="6"/>
  <c r="N226" i="6"/>
  <c r="O226" i="6" s="1"/>
  <c r="P226" i="6"/>
  <c r="Q226" i="6"/>
  <c r="R226" i="6"/>
  <c r="L227" i="6"/>
  <c r="M227" i="6"/>
  <c r="N227" i="6"/>
  <c r="O227" i="6" s="1"/>
  <c r="P227" i="6"/>
  <c r="Q227" i="6"/>
  <c r="R227" i="6"/>
  <c r="L228" i="6"/>
  <c r="L229" i="6" s="1"/>
  <c r="L230" i="6" s="1"/>
  <c r="L231" i="6" s="1"/>
  <c r="L232" i="6" s="1"/>
  <c r="L233" i="6" s="1"/>
  <c r="L234" i="6" s="1"/>
  <c r="L235" i="6" s="1"/>
  <c r="L236" i="6" s="1"/>
  <c r="L237" i="6" s="1"/>
  <c r="L238" i="6" s="1"/>
  <c r="M228" i="6"/>
  <c r="N228" i="6"/>
  <c r="O228" i="6"/>
  <c r="P228" i="6"/>
  <c r="Q228" i="6" s="1"/>
  <c r="R228" i="6"/>
  <c r="M229" i="6"/>
  <c r="N229" i="6"/>
  <c r="P229" i="6"/>
  <c r="N230" i="6"/>
  <c r="P230" i="6"/>
  <c r="R230" i="6" s="1"/>
  <c r="Q230" i="6"/>
  <c r="P231" i="6"/>
  <c r="Q231" i="6"/>
  <c r="R231" i="6"/>
  <c r="P232" i="6"/>
  <c r="R232" i="6" s="1"/>
  <c r="P233" i="6"/>
  <c r="R233" i="6" s="1"/>
  <c r="Q233" i="6"/>
  <c r="P234" i="6"/>
  <c r="Q234" i="6"/>
  <c r="R234" i="6"/>
  <c r="P235" i="6"/>
  <c r="Q235" i="6"/>
  <c r="R235" i="6"/>
  <c r="M236" i="6"/>
  <c r="N236" i="6"/>
  <c r="O236" i="6"/>
  <c r="P236" i="6"/>
  <c r="Q236" i="6" s="1"/>
  <c r="M237" i="6"/>
  <c r="N237" i="6"/>
  <c r="P237" i="6"/>
  <c r="Q237" i="6" s="1"/>
  <c r="M238" i="6"/>
  <c r="N238" i="6"/>
  <c r="P238" i="6"/>
  <c r="R238" i="6" s="1"/>
  <c r="Q238" i="6"/>
  <c r="E54" i="1"/>
  <c r="D54" i="1"/>
  <c r="C54" i="1"/>
  <c r="E53" i="1"/>
  <c r="D53" i="1"/>
  <c r="C53" i="1"/>
  <c r="E51" i="1"/>
  <c r="D51" i="1"/>
  <c r="C51" i="1"/>
  <c r="E49" i="1"/>
  <c r="D49" i="1"/>
  <c r="C49" i="1"/>
  <c r="E48" i="1"/>
  <c r="D48" i="1"/>
  <c r="C48" i="1"/>
  <c r="E47" i="1"/>
  <c r="D47" i="1"/>
  <c r="C47" i="1"/>
  <c r="E46" i="1"/>
  <c r="D46" i="1"/>
  <c r="C46" i="1"/>
  <c r="E45" i="1"/>
  <c r="D45" i="1"/>
  <c r="C45" i="1"/>
  <c r="E44" i="1"/>
  <c r="D44" i="1"/>
  <c r="C44" i="1"/>
  <c r="E43" i="1"/>
  <c r="D43" i="1"/>
  <c r="C43" i="1"/>
  <c r="E42" i="1"/>
  <c r="D42" i="1"/>
  <c r="C42" i="1"/>
  <c r="E40" i="1"/>
  <c r="D40" i="1"/>
  <c r="C40" i="1"/>
  <c r="E39" i="1"/>
  <c r="D39" i="1"/>
  <c r="C39" i="1"/>
  <c r="E38" i="1"/>
  <c r="D38" i="1"/>
  <c r="C38" i="1"/>
  <c r="E37" i="1"/>
  <c r="D37" i="1"/>
  <c r="C37" i="1"/>
  <c r="E36" i="1"/>
  <c r="D36" i="1"/>
  <c r="C36" i="1"/>
  <c r="E34" i="1"/>
  <c r="D34" i="1"/>
  <c r="C34" i="1"/>
  <c r="E33" i="1"/>
  <c r="D33" i="1"/>
  <c r="C33" i="1"/>
  <c r="E32" i="1"/>
  <c r="D32" i="1"/>
  <c r="C32" i="1"/>
  <c r="E31" i="1"/>
  <c r="D31" i="1"/>
  <c r="C31" i="1"/>
  <c r="E28" i="1"/>
  <c r="D28" i="1"/>
  <c r="C28" i="1"/>
  <c r="E27" i="1"/>
  <c r="D27" i="1"/>
  <c r="C27" i="1"/>
  <c r="E26" i="1"/>
  <c r="D26" i="1"/>
  <c r="C26" i="1"/>
  <c r="E24" i="1"/>
  <c r="D24" i="1"/>
  <c r="C24" i="1"/>
  <c r="E22" i="1"/>
  <c r="D22" i="1"/>
  <c r="C22" i="1"/>
  <c r="E20" i="1"/>
  <c r="D20" i="1"/>
  <c r="C20" i="1"/>
  <c r="E19" i="1"/>
  <c r="D19" i="1"/>
  <c r="C19" i="1"/>
  <c r="E17" i="1"/>
  <c r="D17" i="1"/>
  <c r="C17" i="1"/>
  <c r="N296" i="2"/>
  <c r="P296" i="2"/>
  <c r="Q296" i="2" s="1"/>
  <c r="P297" i="2"/>
  <c r="R297" i="2" s="1"/>
  <c r="Q297" i="2"/>
  <c r="P298" i="2"/>
  <c r="Q298" i="2" s="1"/>
  <c r="P299" i="2"/>
  <c r="R299" i="2" s="1"/>
  <c r="P300" i="2"/>
  <c r="Q300" i="2"/>
  <c r="R300" i="2"/>
  <c r="P301" i="2"/>
  <c r="Q301" i="2" s="1"/>
  <c r="P302" i="2"/>
  <c r="R302" i="2" s="1"/>
  <c r="Q302" i="2"/>
  <c r="P303" i="2"/>
  <c r="Q303" i="2" s="1"/>
  <c r="M304" i="2"/>
  <c r="N304" i="2"/>
  <c r="P304" i="2"/>
  <c r="Q304" i="2"/>
  <c r="R304" i="2"/>
  <c r="M305" i="2"/>
  <c r="N305" i="2"/>
  <c r="P305" i="2"/>
  <c r="Q305" i="2" s="1"/>
  <c r="M306" i="2"/>
  <c r="N306" i="2"/>
  <c r="P306" i="2"/>
  <c r="Q306" i="2" s="1"/>
  <c r="P223" i="6"/>
  <c r="Q223" i="6" s="1"/>
  <c r="P224" i="6"/>
  <c r="Q224" i="6" s="1"/>
  <c r="P225" i="6"/>
  <c r="Q225" i="6" s="1"/>
  <c r="D37" i="7"/>
  <c r="J10" i="1" s="1"/>
  <c r="J10" i="2" l="1"/>
  <c r="J10" i="6"/>
  <c r="O237" i="6"/>
  <c r="O238" i="6"/>
  <c r="O229" i="6"/>
  <c r="Q232" i="6"/>
  <c r="R236" i="6"/>
  <c r="R237" i="6"/>
  <c r="O305" i="2"/>
  <c r="R303" i="2"/>
  <c r="Q299" i="2"/>
  <c r="O306" i="2"/>
  <c r="R305" i="2"/>
  <c r="O304" i="2"/>
  <c r="R296" i="2"/>
  <c r="R298" i="2"/>
  <c r="R306" i="2"/>
  <c r="R301" i="2"/>
  <c r="R224" i="6"/>
  <c r="R225" i="6"/>
  <c r="R223" i="6"/>
  <c r="I16" i="8"/>
  <c r="J8" i="1"/>
  <c r="H11" i="3" l="1"/>
  <c r="P271" i="2" l="1"/>
  <c r="R271" i="2" s="1"/>
  <c r="P272" i="2"/>
  <c r="R272" i="2" s="1"/>
  <c r="P273" i="2"/>
  <c r="Q273" i="2" s="1"/>
  <c r="P274" i="2"/>
  <c r="P275" i="2"/>
  <c r="P276" i="2"/>
  <c r="Q276" i="2" s="1"/>
  <c r="P277" i="2"/>
  <c r="P278" i="2"/>
  <c r="Q278" i="2" s="1"/>
  <c r="P279" i="2"/>
  <c r="Q279" i="2" s="1"/>
  <c r="P280" i="2"/>
  <c r="R280" i="2" s="1"/>
  <c r="P281" i="2"/>
  <c r="Q281" i="2" s="1"/>
  <c r="P282" i="2"/>
  <c r="Q282" i="2" s="1"/>
  <c r="P283" i="2"/>
  <c r="P284" i="2"/>
  <c r="P285" i="2"/>
  <c r="P286" i="2"/>
  <c r="Q286" i="2" s="1"/>
  <c r="P287" i="2"/>
  <c r="Q287" i="2" s="1"/>
  <c r="P288" i="2"/>
  <c r="Q288" i="2" s="1"/>
  <c r="P289" i="2"/>
  <c r="P290" i="2"/>
  <c r="P291" i="2"/>
  <c r="Q291" i="2" s="1"/>
  <c r="P292" i="2"/>
  <c r="R292" i="2" s="1"/>
  <c r="P293" i="2"/>
  <c r="P294" i="2"/>
  <c r="Q294" i="2" s="1"/>
  <c r="P295" i="2"/>
  <c r="R281" i="2" l="1"/>
  <c r="R276" i="2"/>
  <c r="Q280" i="2"/>
  <c r="Q272" i="2"/>
  <c r="R294" i="2"/>
  <c r="R288" i="2"/>
  <c r="R286" i="2"/>
  <c r="Q292" i="2"/>
  <c r="Q271" i="2"/>
  <c r="R278" i="2"/>
  <c r="R287" i="2"/>
  <c r="R279" i="2"/>
  <c r="R273" i="2"/>
  <c r="R282" i="2"/>
  <c r="R291" i="2"/>
  <c r="AB15" i="2" l="1"/>
  <c r="AB14" i="2"/>
  <c r="AB14" i="6"/>
  <c r="AC14" i="6" s="1"/>
  <c r="AB15" i="6"/>
  <c r="AC15" i="6" s="1"/>
  <c r="H12" i="3" l="1"/>
  <c r="H13" i="3"/>
  <c r="H14" i="3"/>
  <c r="H15" i="3"/>
  <c r="H16" i="3"/>
  <c r="H17" i="3"/>
  <c r="H18" i="3"/>
  <c r="H19" i="3"/>
  <c r="H20" i="3"/>
  <c r="H21" i="3"/>
  <c r="H22" i="3"/>
  <c r="H23" i="3"/>
  <c r="H24" i="3"/>
  <c r="H25" i="3"/>
  <c r="H26" i="3"/>
  <c r="H27" i="3"/>
  <c r="H28" i="3"/>
  <c r="H29" i="3"/>
  <c r="H30" i="3"/>
  <c r="H31" i="3"/>
  <c r="H32" i="3"/>
  <c r="H33" i="3"/>
  <c r="H34" i="3"/>
  <c r="H35" i="3"/>
  <c r="H36" i="3"/>
  <c r="H37" i="3"/>
  <c r="H38" i="3"/>
  <c r="H39" i="3"/>
  <c r="H40" i="3"/>
  <c r="H41" i="3"/>
  <c r="H42" i="3"/>
  <c r="H43" i="3"/>
  <c r="H44" i="3"/>
  <c r="H45" i="3"/>
  <c r="H46" i="3"/>
  <c r="H47" i="3"/>
  <c r="H48" i="3"/>
  <c r="H49" i="3"/>
  <c r="H50" i="3"/>
  <c r="H51" i="3"/>
  <c r="H52" i="3"/>
  <c r="H53" i="3"/>
  <c r="H54" i="3"/>
  <c r="H55" i="3"/>
  <c r="H56" i="3"/>
  <c r="H57" i="3"/>
  <c r="H58" i="3"/>
  <c r="H59" i="3"/>
  <c r="H60" i="3"/>
  <c r="H61" i="3"/>
  <c r="H62" i="3"/>
  <c r="H63" i="3"/>
  <c r="H64" i="3"/>
  <c r="H65" i="3"/>
  <c r="H66" i="3"/>
  <c r="H67" i="3"/>
  <c r="H68" i="3"/>
  <c r="H69" i="3"/>
  <c r="H70" i="3"/>
  <c r="H71" i="3"/>
  <c r="H72" i="3"/>
  <c r="H73" i="3"/>
  <c r="H74" i="3"/>
  <c r="H75" i="3"/>
  <c r="H76" i="3"/>
  <c r="H77" i="3"/>
  <c r="H78" i="3"/>
  <c r="H79" i="3"/>
  <c r="H80" i="3"/>
  <c r="H81" i="3"/>
  <c r="H82" i="3"/>
  <c r="H83" i="3"/>
  <c r="H84" i="3"/>
  <c r="H85" i="3"/>
  <c r="H86" i="3"/>
  <c r="A5" i="7"/>
  <c r="K35" i="3" l="1"/>
  <c r="K43" i="3"/>
  <c r="K59" i="3"/>
  <c r="K60" i="3"/>
  <c r="K52" i="3"/>
  <c r="K36" i="3"/>
  <c r="K12" i="3"/>
  <c r="K42" i="3"/>
  <c r="K73" i="3"/>
  <c r="K65" i="3"/>
  <c r="K49" i="3"/>
  <c r="K25" i="3"/>
  <c r="K86" i="3"/>
  <c r="K54" i="3"/>
  <c r="K38" i="3"/>
  <c r="K77" i="3"/>
  <c r="K69" i="3"/>
  <c r="K21" i="3"/>
  <c r="K28" i="3"/>
  <c r="K71" i="3"/>
  <c r="K14" i="3"/>
  <c r="K18" i="3"/>
  <c r="K72" i="3"/>
  <c r="K32" i="3"/>
  <c r="K16" i="3"/>
  <c r="K56" i="3"/>
  <c r="K62" i="3"/>
  <c r="K78" i="3"/>
  <c r="K55" i="3"/>
  <c r="K23" i="3"/>
  <c r="K15" i="3"/>
  <c r="K63" i="3"/>
  <c r="K24" i="3"/>
  <c r="K48" i="3"/>
  <c r="K80" i="3"/>
  <c r="K74" i="3"/>
  <c r="K26" i="3"/>
  <c r="K66" i="3"/>
  <c r="K11" i="3"/>
  <c r="K53" i="3"/>
  <c r="K45" i="3"/>
  <c r="K61" i="3"/>
  <c r="K37" i="3"/>
  <c r="K29" i="3"/>
  <c r="K85" i="3"/>
  <c r="K84" i="3"/>
  <c r="K76" i="3"/>
  <c r="K68" i="3"/>
  <c r="K44" i="3"/>
  <c r="K20" i="3"/>
  <c r="K83" i="3"/>
  <c r="K75" i="3"/>
  <c r="K67" i="3"/>
  <c r="K51" i="3"/>
  <c r="K27" i="3"/>
  <c r="K19" i="3"/>
  <c r="K13" i="3"/>
  <c r="K82" i="3"/>
  <c r="K58" i="3"/>
  <c r="K50" i="3"/>
  <c r="K34" i="3"/>
  <c r="K81" i="3"/>
  <c r="K57" i="3"/>
  <c r="K41" i="3"/>
  <c r="K33" i="3"/>
  <c r="K17" i="3"/>
  <c r="K64" i="3"/>
  <c r="K40" i="3"/>
  <c r="K79" i="3"/>
  <c r="K47" i="3"/>
  <c r="K39" i="3"/>
  <c r="K31" i="3"/>
  <c r="K70" i="3"/>
  <c r="K46" i="3"/>
  <c r="K30" i="3"/>
  <c r="K22" i="3"/>
  <c r="L15" i="2"/>
  <c r="L16" i="2" s="1"/>
  <c r="L17" i="2" s="1"/>
  <c r="L18" i="2" s="1"/>
  <c r="M15" i="2"/>
  <c r="N15" i="2"/>
  <c r="P15" i="2"/>
  <c r="Q15" i="2" s="1"/>
  <c r="M16" i="2"/>
  <c r="N16" i="2"/>
  <c r="P16" i="2"/>
  <c r="Q16" i="2" s="1"/>
  <c r="M17" i="2"/>
  <c r="N17" i="2"/>
  <c r="P17" i="2"/>
  <c r="N18" i="2"/>
  <c r="P18" i="2"/>
  <c r="P19" i="2"/>
  <c r="Q19" i="2" s="1"/>
  <c r="AC15" i="2"/>
  <c r="M16" i="6"/>
  <c r="N16" i="6"/>
  <c r="P16" i="6"/>
  <c r="L17" i="6"/>
  <c r="L18" i="6" s="1"/>
  <c r="L19" i="6" s="1"/>
  <c r="N17" i="6"/>
  <c r="P17" i="6"/>
  <c r="Q17" i="6" s="1"/>
  <c r="P18" i="6"/>
  <c r="R18" i="6" s="1"/>
  <c r="P19" i="6"/>
  <c r="Q19" i="6" s="1"/>
  <c r="I11" i="3" l="1"/>
  <c r="I30" i="3"/>
  <c r="I49" i="3"/>
  <c r="I52" i="3"/>
  <c r="I79" i="3"/>
  <c r="I85" i="3"/>
  <c r="I23" i="3"/>
  <c r="I42" i="3"/>
  <c r="I83" i="3"/>
  <c r="I55" i="3"/>
  <c r="I74" i="3"/>
  <c r="I28" i="3"/>
  <c r="I72" i="3"/>
  <c r="I25" i="3"/>
  <c r="I63" i="3"/>
  <c r="I33" i="3"/>
  <c r="I82" i="3"/>
  <c r="I36" i="3"/>
  <c r="I38" i="3"/>
  <c r="I57" i="3"/>
  <c r="I19" i="3"/>
  <c r="I60" i="3"/>
  <c r="I70" i="3"/>
  <c r="I40" i="3"/>
  <c r="I51" i="3"/>
  <c r="I13" i="3"/>
  <c r="I48" i="3"/>
  <c r="I78" i="3"/>
  <c r="I18" i="3"/>
  <c r="I59" i="3"/>
  <c r="I29" i="3"/>
  <c r="I15" i="3"/>
  <c r="I64" i="3"/>
  <c r="I34" i="3"/>
  <c r="I75" i="3"/>
  <c r="I22" i="3"/>
  <c r="I86" i="3"/>
  <c r="I71" i="3"/>
  <c r="I56" i="3"/>
  <c r="I41" i="3"/>
  <c r="I26" i="3"/>
  <c r="I67" i="3"/>
  <c r="I44" i="3"/>
  <c r="I14" i="3"/>
  <c r="I37" i="3"/>
  <c r="I46" i="3"/>
  <c r="I31" i="3"/>
  <c r="I16" i="3"/>
  <c r="I80" i="3"/>
  <c r="I65" i="3"/>
  <c r="I50" i="3"/>
  <c r="I27" i="3"/>
  <c r="I68" i="3"/>
  <c r="I45" i="3"/>
  <c r="I69" i="3"/>
  <c r="I54" i="3"/>
  <c r="I39" i="3"/>
  <c r="I24" i="3"/>
  <c r="I73" i="3"/>
  <c r="I58" i="3"/>
  <c r="I35" i="3"/>
  <c r="I12" i="3"/>
  <c r="I76" i="3"/>
  <c r="I53" i="3"/>
  <c r="I21" i="3"/>
  <c r="I77" i="3"/>
  <c r="I62" i="3"/>
  <c r="I47" i="3"/>
  <c r="I32" i="3"/>
  <c r="I17" i="3"/>
  <c r="I81" i="3"/>
  <c r="I66" i="3"/>
  <c r="I43" i="3"/>
  <c r="I20" i="3"/>
  <c r="I84" i="3"/>
  <c r="I61" i="3"/>
  <c r="Q18" i="6"/>
  <c r="R19" i="6"/>
  <c r="O16" i="2"/>
  <c r="O17" i="2"/>
  <c r="O15" i="2"/>
  <c r="L19" i="2"/>
  <c r="R15" i="2"/>
  <c r="R16" i="2"/>
  <c r="R19" i="2"/>
  <c r="O16" i="6"/>
  <c r="R17" i="6"/>
  <c r="A5" i="8"/>
  <c r="A3" i="8"/>
  <c r="A2" i="8"/>
  <c r="A7" i="3"/>
  <c r="E11" i="6"/>
  <c r="E9" i="6"/>
  <c r="J8" i="6"/>
  <c r="E8" i="6"/>
  <c r="A5" i="6"/>
  <c r="A3" i="6"/>
  <c r="A3" i="3" s="1"/>
  <c r="A2" i="6"/>
  <c r="J8" i="2"/>
  <c r="E11" i="2"/>
  <c r="E9" i="2"/>
  <c r="E8" i="2"/>
  <c r="A5" i="2"/>
  <c r="A3" i="2"/>
  <c r="A2" i="2"/>
  <c r="A5" i="1"/>
  <c r="A3" i="1"/>
  <c r="A2" i="1"/>
  <c r="I14" i="8"/>
  <c r="I12" i="8"/>
  <c r="I10" i="8"/>
  <c r="D23" i="7"/>
  <c r="M228" i="2"/>
  <c r="N228" i="2"/>
  <c r="M219" i="2"/>
  <c r="N219" i="2"/>
  <c r="M210" i="2"/>
  <c r="N210" i="2"/>
  <c r="M209" i="2"/>
  <c r="N209" i="2"/>
  <c r="M197" i="2"/>
  <c r="M188" i="2"/>
  <c r="N188" i="2"/>
  <c r="M178" i="2"/>
  <c r="N178" i="2"/>
  <c r="M141" i="2"/>
  <c r="N141" i="2"/>
  <c r="M127" i="2"/>
  <c r="N127" i="2"/>
  <c r="M120" i="2"/>
  <c r="N120" i="2"/>
  <c r="M70" i="2"/>
  <c r="N70" i="2"/>
  <c r="M69" i="2"/>
  <c r="N69" i="2"/>
  <c r="M68" i="2"/>
  <c r="N68" i="2"/>
  <c r="N35" i="2"/>
  <c r="M27" i="2"/>
  <c r="N27" i="2"/>
  <c r="M26" i="2"/>
  <c r="N26" i="2"/>
  <c r="N36" i="2"/>
  <c r="P36" i="2"/>
  <c r="Q36" i="2" s="1"/>
  <c r="N37" i="2"/>
  <c r="P37" i="2"/>
  <c r="P38" i="2"/>
  <c r="N39" i="2"/>
  <c r="P39" i="2"/>
  <c r="P40" i="2"/>
  <c r="Q40" i="2" s="1"/>
  <c r="P41" i="2"/>
  <c r="P42" i="2"/>
  <c r="P43" i="2"/>
  <c r="Q43" i="2" s="1"/>
  <c r="P44" i="2"/>
  <c r="Q44" i="2" s="1"/>
  <c r="P45" i="2"/>
  <c r="P46" i="2"/>
  <c r="P47" i="2"/>
  <c r="Q47" i="2" s="1"/>
  <c r="P48" i="2"/>
  <c r="Q48" i="2" s="1"/>
  <c r="M49" i="2"/>
  <c r="N49" i="2"/>
  <c r="P49" i="2"/>
  <c r="Q49" i="2" s="1"/>
  <c r="M50" i="2"/>
  <c r="N50" i="2"/>
  <c r="P50" i="2"/>
  <c r="M51" i="2"/>
  <c r="N51" i="2"/>
  <c r="P51" i="2"/>
  <c r="P52" i="2"/>
  <c r="Q52" i="2" s="1"/>
  <c r="P53" i="2"/>
  <c r="P54" i="2"/>
  <c r="P55" i="2"/>
  <c r="P56" i="2"/>
  <c r="Q56" i="2" s="1"/>
  <c r="P57" i="2"/>
  <c r="Q57" i="2" s="1"/>
  <c r="P58" i="2"/>
  <c r="P59" i="2"/>
  <c r="Q59" i="2" s="1"/>
  <c r="M60" i="2"/>
  <c r="N60" i="2"/>
  <c r="P60" i="2"/>
  <c r="P61" i="2"/>
  <c r="Q61" i="2" s="1"/>
  <c r="P62" i="2"/>
  <c r="P63" i="2"/>
  <c r="P64" i="2"/>
  <c r="P65" i="2"/>
  <c r="P66" i="2"/>
  <c r="P67" i="2"/>
  <c r="Q67" i="2" s="1"/>
  <c r="P68" i="2"/>
  <c r="Q68" i="2" s="1"/>
  <c r="P69" i="2"/>
  <c r="Q69" i="2" s="1"/>
  <c r="P70" i="2"/>
  <c r="P71" i="2"/>
  <c r="Q71" i="2" s="1"/>
  <c r="P72" i="2"/>
  <c r="P73" i="2"/>
  <c r="Q73" i="2" s="1"/>
  <c r="P74" i="2"/>
  <c r="P75" i="2"/>
  <c r="Q75" i="2" s="1"/>
  <c r="P76" i="2"/>
  <c r="P77" i="2"/>
  <c r="Q77" i="2" s="1"/>
  <c r="P78" i="2"/>
  <c r="P79" i="2"/>
  <c r="P80" i="2"/>
  <c r="Q80" i="2" s="1"/>
  <c r="P81" i="2"/>
  <c r="P82" i="2"/>
  <c r="Q82" i="2" s="1"/>
  <c r="P83" i="2"/>
  <c r="Q83" i="2" s="1"/>
  <c r="M84" i="2"/>
  <c r="N84" i="2"/>
  <c r="P84" i="2"/>
  <c r="Q84" i="2" s="1"/>
  <c r="M85" i="2"/>
  <c r="N85" i="2"/>
  <c r="P85" i="2"/>
  <c r="P86" i="2"/>
  <c r="P87" i="2"/>
  <c r="P88" i="2"/>
  <c r="P89" i="2"/>
  <c r="P90" i="2"/>
  <c r="Q90" i="2" s="1"/>
  <c r="P91" i="2"/>
  <c r="P92" i="2"/>
  <c r="Q92" i="2" s="1"/>
  <c r="P93" i="2"/>
  <c r="Q93" i="2" s="1"/>
  <c r="P94" i="2"/>
  <c r="Q94" i="2" s="1"/>
  <c r="M95" i="2"/>
  <c r="N95" i="2"/>
  <c r="P95" i="2"/>
  <c r="P96" i="2"/>
  <c r="Q96" i="2" s="1"/>
  <c r="P97" i="2"/>
  <c r="P98" i="2"/>
  <c r="P99" i="2"/>
  <c r="Q99" i="2" s="1"/>
  <c r="P100" i="2"/>
  <c r="P101" i="2"/>
  <c r="Q101" i="2" s="1"/>
  <c r="P102" i="2"/>
  <c r="Q102" i="2" s="1"/>
  <c r="P103" i="2"/>
  <c r="Q103" i="2" s="1"/>
  <c r="P104" i="2"/>
  <c r="Q104" i="2" s="1"/>
  <c r="P105" i="2"/>
  <c r="Q105" i="2" s="1"/>
  <c r="M106" i="2"/>
  <c r="N106" i="2"/>
  <c r="P106" i="2"/>
  <c r="Q106" i="2" s="1"/>
  <c r="M107" i="2"/>
  <c r="N107" i="2"/>
  <c r="P107" i="2"/>
  <c r="P108" i="2"/>
  <c r="N109" i="2"/>
  <c r="P109" i="2"/>
  <c r="Q109" i="2" s="1"/>
  <c r="P110" i="2"/>
  <c r="P111" i="2"/>
  <c r="P112" i="2"/>
  <c r="P113" i="2"/>
  <c r="Q113" i="2" s="1"/>
  <c r="P114" i="2"/>
  <c r="P115" i="2"/>
  <c r="Q115" i="2" s="1"/>
  <c r="P116" i="2"/>
  <c r="Q116" i="2" s="1"/>
  <c r="M117" i="2"/>
  <c r="N117" i="2"/>
  <c r="P117" i="2"/>
  <c r="M118" i="2"/>
  <c r="N118" i="2"/>
  <c r="P118" i="2"/>
  <c r="Q118" i="2" s="1"/>
  <c r="M119" i="2"/>
  <c r="N119" i="2"/>
  <c r="P119" i="2"/>
  <c r="P120" i="2"/>
  <c r="P121" i="2"/>
  <c r="Q121" i="2" s="1"/>
  <c r="P122" i="2"/>
  <c r="P123" i="2"/>
  <c r="P124" i="2"/>
  <c r="P125" i="2"/>
  <c r="Q125" i="2" s="1"/>
  <c r="P126" i="2"/>
  <c r="P127" i="2"/>
  <c r="P128" i="2"/>
  <c r="Q128" i="2" s="1"/>
  <c r="M129" i="2"/>
  <c r="N129" i="2"/>
  <c r="P129" i="2"/>
  <c r="P130" i="2"/>
  <c r="R130" i="2" s="1"/>
  <c r="M131" i="2"/>
  <c r="N131" i="2"/>
  <c r="P131" i="2"/>
  <c r="M132" i="2"/>
  <c r="N132" i="2"/>
  <c r="P132" i="2"/>
  <c r="P133" i="2"/>
  <c r="P134" i="2"/>
  <c r="P135" i="2"/>
  <c r="Q135" i="2" s="1"/>
  <c r="M136" i="2"/>
  <c r="N136" i="2"/>
  <c r="P136" i="2"/>
  <c r="P137" i="2"/>
  <c r="P138" i="2"/>
  <c r="P139" i="2"/>
  <c r="Q139" i="2" s="1"/>
  <c r="P140" i="2"/>
  <c r="P141" i="2"/>
  <c r="P142" i="2"/>
  <c r="P143" i="2"/>
  <c r="P144" i="2"/>
  <c r="Q144" i="2" s="1"/>
  <c r="P145" i="2"/>
  <c r="M146" i="2"/>
  <c r="N146" i="2"/>
  <c r="P146" i="2"/>
  <c r="P147" i="2"/>
  <c r="P148" i="2"/>
  <c r="P149" i="2"/>
  <c r="Q149" i="2" s="1"/>
  <c r="M150" i="2"/>
  <c r="N150" i="2"/>
  <c r="P150" i="2"/>
  <c r="P151" i="2"/>
  <c r="P152" i="2"/>
  <c r="Q152" i="2" s="1"/>
  <c r="P153" i="2"/>
  <c r="Q153" i="2" s="1"/>
  <c r="P154" i="2"/>
  <c r="P155" i="2"/>
  <c r="P156" i="2"/>
  <c r="P157" i="2"/>
  <c r="P158" i="2"/>
  <c r="Q158" i="2" s="1"/>
  <c r="P159" i="2"/>
  <c r="Q159" i="2" s="1"/>
  <c r="M160" i="2"/>
  <c r="N160" i="2"/>
  <c r="P160" i="2"/>
  <c r="Q160" i="2" s="1"/>
  <c r="M161" i="2"/>
  <c r="N161" i="2"/>
  <c r="P161" i="2"/>
  <c r="Q161" i="2" s="1"/>
  <c r="M162" i="2"/>
  <c r="N162" i="2"/>
  <c r="P162" i="2"/>
  <c r="P163" i="2"/>
  <c r="P164" i="2"/>
  <c r="P165" i="2"/>
  <c r="P166" i="2"/>
  <c r="Q166" i="2" s="1"/>
  <c r="P167" i="2"/>
  <c r="Q167" i="2" s="1"/>
  <c r="P168" i="2"/>
  <c r="Q168" i="2" s="1"/>
  <c r="P169" i="2"/>
  <c r="M170" i="2"/>
  <c r="N170" i="2"/>
  <c r="P170" i="2"/>
  <c r="R170" i="2" s="1"/>
  <c r="M171" i="2"/>
  <c r="N171" i="2"/>
  <c r="P171" i="2"/>
  <c r="Q171" i="2" s="1"/>
  <c r="M172" i="2"/>
  <c r="N172" i="2"/>
  <c r="P172" i="2"/>
  <c r="N173" i="2"/>
  <c r="P173" i="2"/>
  <c r="P174" i="2"/>
  <c r="P175" i="2"/>
  <c r="P176" i="2"/>
  <c r="P177" i="2"/>
  <c r="Q177" i="2" s="1"/>
  <c r="P178" i="2"/>
  <c r="R178" i="2" s="1"/>
  <c r="M179" i="2"/>
  <c r="N179" i="2"/>
  <c r="P179" i="2"/>
  <c r="Q179" i="2" s="1"/>
  <c r="M180" i="2"/>
  <c r="N180" i="2"/>
  <c r="P180" i="2"/>
  <c r="R180" i="2" s="1"/>
  <c r="M181" i="2"/>
  <c r="N181" i="2"/>
  <c r="P181" i="2"/>
  <c r="P182" i="2"/>
  <c r="P183" i="2"/>
  <c r="P184" i="2"/>
  <c r="P185" i="2"/>
  <c r="Q185" i="2" s="1"/>
  <c r="P186" i="2"/>
  <c r="R186" i="2" s="1"/>
  <c r="P187" i="2"/>
  <c r="Q187" i="2" s="1"/>
  <c r="P188" i="2"/>
  <c r="Q188" i="2" s="1"/>
  <c r="M189" i="2"/>
  <c r="N189" i="2"/>
  <c r="P189" i="2"/>
  <c r="P190" i="2"/>
  <c r="P191" i="2"/>
  <c r="P192" i="2"/>
  <c r="P193" i="2"/>
  <c r="P194" i="2"/>
  <c r="P195" i="2"/>
  <c r="Q195" i="2" s="1"/>
  <c r="P196" i="2"/>
  <c r="Q196" i="2" s="1"/>
  <c r="N197" i="2"/>
  <c r="P197" i="2"/>
  <c r="P198" i="2"/>
  <c r="Q198" i="2" s="1"/>
  <c r="P199" i="2"/>
  <c r="P200" i="2"/>
  <c r="P201" i="2"/>
  <c r="P202" i="2"/>
  <c r="P203" i="2"/>
  <c r="Q203" i="2" s="1"/>
  <c r="P204" i="2"/>
  <c r="P205" i="2"/>
  <c r="P206" i="2"/>
  <c r="P207" i="2"/>
  <c r="P208" i="2"/>
  <c r="Q208" i="2" s="1"/>
  <c r="P209" i="2"/>
  <c r="P210" i="2"/>
  <c r="Q210" i="2" s="1"/>
  <c r="M211" i="2"/>
  <c r="N211" i="2"/>
  <c r="P211" i="2"/>
  <c r="P212" i="2"/>
  <c r="P213" i="2"/>
  <c r="R213" i="2" s="1"/>
  <c r="P214" i="2"/>
  <c r="P215" i="2"/>
  <c r="Q215" i="2" s="1"/>
  <c r="P216" i="2"/>
  <c r="P217" i="2"/>
  <c r="P218" i="2"/>
  <c r="Q218" i="2" s="1"/>
  <c r="P219" i="2"/>
  <c r="P220" i="2"/>
  <c r="Q220" i="2" s="1"/>
  <c r="M221" i="2"/>
  <c r="N221" i="2"/>
  <c r="P221" i="2"/>
  <c r="P222" i="2"/>
  <c r="Q222" i="2" s="1"/>
  <c r="P223" i="2"/>
  <c r="P224" i="2"/>
  <c r="P225" i="2"/>
  <c r="P226" i="2"/>
  <c r="Q226" i="2" s="1"/>
  <c r="P227" i="2"/>
  <c r="Q227" i="2" s="1"/>
  <c r="P228" i="2"/>
  <c r="N229" i="2"/>
  <c r="P229" i="2"/>
  <c r="R229" i="2" s="1"/>
  <c r="P230" i="2"/>
  <c r="P231" i="2"/>
  <c r="Q231" i="2" s="1"/>
  <c r="P232" i="2"/>
  <c r="Q232" i="2" s="1"/>
  <c r="P233" i="2"/>
  <c r="P234" i="2"/>
  <c r="P235" i="2"/>
  <c r="Q235" i="2" s="1"/>
  <c r="P236" i="2"/>
  <c r="P237" i="2"/>
  <c r="P238" i="2"/>
  <c r="Q238" i="2" s="1"/>
  <c r="P239" i="2"/>
  <c r="P240" i="2"/>
  <c r="P241" i="2"/>
  <c r="R241" i="2" s="1"/>
  <c r="P242" i="2"/>
  <c r="P243" i="2"/>
  <c r="Q243" i="2" s="1"/>
  <c r="M244" i="2"/>
  <c r="N244" i="2"/>
  <c r="P244" i="2"/>
  <c r="P245" i="2"/>
  <c r="R245" i="2" s="1"/>
  <c r="P246" i="2"/>
  <c r="P247" i="2"/>
  <c r="P248" i="2"/>
  <c r="P249" i="2"/>
  <c r="P250" i="2"/>
  <c r="P251" i="2"/>
  <c r="Q251" i="2" s="1"/>
  <c r="P252" i="2"/>
  <c r="P253" i="2"/>
  <c r="R253" i="2" s="1"/>
  <c r="M254" i="2"/>
  <c r="N254" i="2"/>
  <c r="P254" i="2"/>
  <c r="P255" i="2"/>
  <c r="Q255" i="2" s="1"/>
  <c r="P256" i="2"/>
  <c r="P257" i="2"/>
  <c r="P258" i="2"/>
  <c r="P259" i="2"/>
  <c r="P260" i="2"/>
  <c r="Q260" i="2" s="1"/>
  <c r="P261" i="2"/>
  <c r="R261" i="2" s="1"/>
  <c r="P262" i="2"/>
  <c r="Q262" i="2" s="1"/>
  <c r="M263" i="2"/>
  <c r="N263" i="2"/>
  <c r="P263" i="2"/>
  <c r="Q263" i="2" s="1"/>
  <c r="M264" i="2"/>
  <c r="N264" i="2"/>
  <c r="P264" i="2"/>
  <c r="P265" i="2"/>
  <c r="P266" i="2"/>
  <c r="P267" i="2"/>
  <c r="P268" i="2"/>
  <c r="P269" i="2"/>
  <c r="P270" i="2"/>
  <c r="P21" i="2"/>
  <c r="Q21" i="2" s="1"/>
  <c r="P22" i="2"/>
  <c r="Q22" i="2" s="1"/>
  <c r="P23" i="2"/>
  <c r="Q23" i="2" s="1"/>
  <c r="P24" i="2"/>
  <c r="Q24" i="2" s="1"/>
  <c r="P25" i="2"/>
  <c r="Q25" i="2" s="1"/>
  <c r="P26" i="2"/>
  <c r="Q26" i="2" s="1"/>
  <c r="P27" i="2"/>
  <c r="Q27" i="2" s="1"/>
  <c r="M28" i="2"/>
  <c r="N28" i="2"/>
  <c r="P28" i="2"/>
  <c r="Q28" i="2" s="1"/>
  <c r="M29" i="2"/>
  <c r="N29" i="2"/>
  <c r="P29" i="2"/>
  <c r="Q29" i="2" s="1"/>
  <c r="M30" i="2"/>
  <c r="N30" i="2"/>
  <c r="P30" i="2"/>
  <c r="P31" i="2"/>
  <c r="Q31" i="2" s="1"/>
  <c r="M32" i="2"/>
  <c r="N32" i="2"/>
  <c r="P32" i="2"/>
  <c r="P33" i="2"/>
  <c r="Q33" i="2" s="1"/>
  <c r="N34" i="2"/>
  <c r="P34" i="2"/>
  <c r="P35" i="2"/>
  <c r="Q35" i="2" s="1"/>
  <c r="P20" i="2"/>
  <c r="L20" i="2"/>
  <c r="L21" i="2" s="1"/>
  <c r="A5" i="3" l="1"/>
  <c r="K17" i="1"/>
  <c r="K25" i="1"/>
  <c r="K33" i="1"/>
  <c r="K41" i="1"/>
  <c r="K49" i="1"/>
  <c r="K18" i="1"/>
  <c r="K26" i="1"/>
  <c r="K34" i="1"/>
  <c r="K42" i="1"/>
  <c r="K50" i="1"/>
  <c r="K19" i="1"/>
  <c r="K27" i="1"/>
  <c r="K35" i="1"/>
  <c r="K43" i="1"/>
  <c r="K51" i="1"/>
  <c r="K31" i="1"/>
  <c r="K20" i="1"/>
  <c r="K28" i="1"/>
  <c r="K36" i="1"/>
  <c r="K44" i="1"/>
  <c r="K52" i="1"/>
  <c r="K23" i="1"/>
  <c r="K21" i="1"/>
  <c r="K29" i="1"/>
  <c r="K37" i="1"/>
  <c r="K45" i="1"/>
  <c r="K53" i="1"/>
  <c r="K47" i="1"/>
  <c r="K22" i="1"/>
  <c r="K30" i="1"/>
  <c r="K38" i="1"/>
  <c r="K46" i="1"/>
  <c r="K54" i="1"/>
  <c r="K39" i="1"/>
  <c r="K24" i="1"/>
  <c r="K32" i="1"/>
  <c r="K40" i="1"/>
  <c r="K48" i="1"/>
  <c r="M142" i="2"/>
  <c r="A2" i="3"/>
  <c r="J9" i="6"/>
  <c r="J9" i="2"/>
  <c r="W18" i="2" s="1"/>
  <c r="J9" i="1"/>
  <c r="R222" i="2"/>
  <c r="K15" i="1"/>
  <c r="K16" i="1"/>
  <c r="N137" i="2"/>
  <c r="N169" i="2"/>
  <c r="N151" i="2"/>
  <c r="M137" i="2"/>
  <c r="M48" i="2"/>
  <c r="M169" i="2"/>
  <c r="N48" i="2"/>
  <c r="M151" i="2"/>
  <c r="O172" i="2"/>
  <c r="O254" i="2"/>
  <c r="R28" i="2"/>
  <c r="R232" i="2"/>
  <c r="R226" i="2"/>
  <c r="O28" i="2"/>
  <c r="O51" i="2"/>
  <c r="R159" i="2"/>
  <c r="R135" i="2"/>
  <c r="O146" i="2"/>
  <c r="O95" i="2"/>
  <c r="O85" i="2"/>
  <c r="R101" i="2"/>
  <c r="R208" i="2"/>
  <c r="R188" i="2"/>
  <c r="O32" i="2"/>
  <c r="O117" i="2"/>
  <c r="O118" i="2"/>
  <c r="R49" i="2"/>
  <c r="R24" i="2"/>
  <c r="Q180" i="2"/>
  <c r="R158" i="2"/>
  <c r="R152" i="2"/>
  <c r="R144" i="2"/>
  <c r="O131" i="2"/>
  <c r="Q241" i="2"/>
  <c r="R220" i="2"/>
  <c r="Q130" i="2"/>
  <c r="R103" i="2"/>
  <c r="R56" i="2"/>
  <c r="R44" i="2"/>
  <c r="R40" i="2"/>
  <c r="R262" i="2"/>
  <c r="O211" i="2"/>
  <c r="O132" i="2"/>
  <c r="R118" i="2"/>
  <c r="R102" i="2"/>
  <c r="R52" i="2"/>
  <c r="O50" i="2"/>
  <c r="R43" i="2"/>
  <c r="Q261" i="2"/>
  <c r="O189" i="2"/>
  <c r="Q178" i="2"/>
  <c r="R128" i="2"/>
  <c r="R104" i="2"/>
  <c r="R48" i="2"/>
  <c r="R36" i="2"/>
  <c r="R260" i="2"/>
  <c r="Q253" i="2"/>
  <c r="Q229" i="2"/>
  <c r="Q213" i="2"/>
  <c r="R196" i="2"/>
  <c r="R160" i="2"/>
  <c r="R105" i="2"/>
  <c r="R238" i="2"/>
  <c r="R218" i="2"/>
  <c r="Q186" i="2"/>
  <c r="R168" i="2"/>
  <c r="R109" i="2"/>
  <c r="R57" i="2"/>
  <c r="Q245" i="2"/>
  <c r="R210" i="2"/>
  <c r="O179" i="2"/>
  <c r="Q170" i="2"/>
  <c r="R153" i="2"/>
  <c r="R121" i="2"/>
  <c r="R61" i="2"/>
  <c r="R59" i="2"/>
  <c r="O127" i="2"/>
  <c r="O228" i="2"/>
  <c r="O26" i="2"/>
  <c r="O219" i="2"/>
  <c r="O209" i="2"/>
  <c r="O68" i="2"/>
  <c r="O188" i="2"/>
  <c r="O210" i="2"/>
  <c r="O197" i="2"/>
  <c r="O141" i="2"/>
  <c r="O70" i="2"/>
  <c r="O69" i="2"/>
  <c r="O27" i="2"/>
  <c r="O264" i="2"/>
  <c r="O263" i="2"/>
  <c r="O221" i="2"/>
  <c r="O107" i="2"/>
  <c r="O30" i="2"/>
  <c r="O180" i="2"/>
  <c r="O181" i="2"/>
  <c r="O162" i="2"/>
  <c r="O171" i="2"/>
  <c r="O161" i="2"/>
  <c r="O150" i="2"/>
  <c r="O129" i="2"/>
  <c r="O106" i="2"/>
  <c r="O84" i="2"/>
  <c r="O60" i="2"/>
  <c r="O29" i="2"/>
  <c r="O49" i="2"/>
  <c r="O244" i="2"/>
  <c r="O119" i="2"/>
  <c r="Q42" i="2"/>
  <c r="R42" i="2"/>
  <c r="Q46" i="2"/>
  <c r="R46" i="2"/>
  <c r="R203" i="2"/>
  <c r="R195" i="2"/>
  <c r="R187" i="2"/>
  <c r="R179" i="2"/>
  <c r="O178" i="2"/>
  <c r="R171" i="2"/>
  <c r="O170" i="2"/>
  <c r="R149" i="2"/>
  <c r="Q50" i="2"/>
  <c r="R50" i="2"/>
  <c r="R263" i="2"/>
  <c r="R255" i="2"/>
  <c r="R251" i="2"/>
  <c r="R243" i="2"/>
  <c r="R235" i="2"/>
  <c r="R231" i="2"/>
  <c r="R227" i="2"/>
  <c r="R215" i="2"/>
  <c r="R198" i="2"/>
  <c r="R166" i="2"/>
  <c r="O160" i="2"/>
  <c r="R115" i="2"/>
  <c r="R106" i="2"/>
  <c r="R99" i="2"/>
  <c r="R93" i="2"/>
  <c r="R83" i="2"/>
  <c r="R77" i="2"/>
  <c r="R75" i="2"/>
  <c r="R73" i="2"/>
  <c r="R71" i="2"/>
  <c r="R69" i="2"/>
  <c r="R67" i="2"/>
  <c r="R185" i="2"/>
  <c r="R177" i="2"/>
  <c r="R161" i="2"/>
  <c r="R113" i="2"/>
  <c r="Q54" i="2"/>
  <c r="R54" i="2"/>
  <c r="Q58" i="2"/>
  <c r="R58" i="2"/>
  <c r="R47" i="2"/>
  <c r="R167" i="2"/>
  <c r="R125" i="2"/>
  <c r="Q38" i="2"/>
  <c r="R38" i="2"/>
  <c r="R139" i="2"/>
  <c r="O136" i="2"/>
  <c r="O120" i="2"/>
  <c r="R116" i="2"/>
  <c r="R96" i="2"/>
  <c r="R94" i="2"/>
  <c r="R92" i="2"/>
  <c r="R90" i="2"/>
  <c r="R84" i="2"/>
  <c r="R82" i="2"/>
  <c r="R80" i="2"/>
  <c r="R68" i="2"/>
  <c r="Q66" i="2"/>
  <c r="R66" i="2"/>
  <c r="R33" i="2"/>
  <c r="R29" i="2"/>
  <c r="R25" i="2"/>
  <c r="R21" i="2"/>
  <c r="R26" i="2"/>
  <c r="R22" i="2"/>
  <c r="R35" i="2"/>
  <c r="R27" i="2"/>
  <c r="R23" i="2"/>
  <c r="R31" i="2"/>
  <c r="V16" i="6" l="1"/>
  <c r="E302" i="2"/>
  <c r="I300" i="2"/>
  <c r="J300" i="2" s="1"/>
  <c r="M300" i="2" s="1"/>
  <c r="D299" i="2"/>
  <c r="N299" i="2" s="1"/>
  <c r="G297" i="2"/>
  <c r="C289" i="2"/>
  <c r="E287" i="2"/>
  <c r="I285" i="2"/>
  <c r="J285" i="2" s="1"/>
  <c r="M285" i="2" s="1"/>
  <c r="D276" i="2"/>
  <c r="G274" i="2"/>
  <c r="C273" i="2"/>
  <c r="E262" i="2"/>
  <c r="I252" i="2"/>
  <c r="J252" i="2" s="1"/>
  <c r="M252" i="2" s="1"/>
  <c r="D243" i="2"/>
  <c r="G233" i="2"/>
  <c r="C224" i="2"/>
  <c r="E214" i="2"/>
  <c r="I196" i="2"/>
  <c r="J196" i="2" s="1"/>
  <c r="D186" i="2"/>
  <c r="G176" i="2"/>
  <c r="C167" i="2"/>
  <c r="E157" i="2"/>
  <c r="I155" i="2"/>
  <c r="J155" i="2" s="1"/>
  <c r="D154" i="2"/>
  <c r="N154" i="2" s="1"/>
  <c r="G135" i="2"/>
  <c r="C126" i="2"/>
  <c r="E124" i="2"/>
  <c r="I114" i="2"/>
  <c r="J114" i="2" s="1"/>
  <c r="M114" i="2" s="1"/>
  <c r="D105" i="2"/>
  <c r="N105" i="2" s="1"/>
  <c r="G103" i="2"/>
  <c r="C92" i="2"/>
  <c r="E73" i="2"/>
  <c r="I44" i="2"/>
  <c r="J44" i="2" s="1"/>
  <c r="D43" i="2"/>
  <c r="N43" i="2" s="1"/>
  <c r="G41" i="2"/>
  <c r="C40" i="2"/>
  <c r="E25" i="2"/>
  <c r="I23" i="2"/>
  <c r="J23" i="2" s="1"/>
  <c r="D22" i="2"/>
  <c r="G233" i="6"/>
  <c r="D232" i="6"/>
  <c r="G224" i="6"/>
  <c r="D223" i="6"/>
  <c r="G220" i="6"/>
  <c r="D219" i="6"/>
  <c r="G210" i="6"/>
  <c r="D209" i="6"/>
  <c r="G206" i="6"/>
  <c r="D199" i="6"/>
  <c r="G196" i="6"/>
  <c r="D195" i="6"/>
  <c r="G186" i="6"/>
  <c r="D185" i="6"/>
  <c r="G182" i="6"/>
  <c r="D181" i="6"/>
  <c r="G172" i="6"/>
  <c r="D171" i="6"/>
  <c r="G162" i="6"/>
  <c r="D156" i="6"/>
  <c r="G138" i="6"/>
  <c r="D132" i="6"/>
  <c r="G114" i="6"/>
  <c r="D108" i="6"/>
  <c r="G100" i="6"/>
  <c r="D90" i="6"/>
  <c r="I303" i="2"/>
  <c r="J303" i="2" s="1"/>
  <c r="M303" i="2" s="1"/>
  <c r="D302" i="2"/>
  <c r="N302" i="2" s="1"/>
  <c r="G300" i="2"/>
  <c r="C299" i="2"/>
  <c r="E297" i="2"/>
  <c r="I288" i="2"/>
  <c r="J288" i="2" s="1"/>
  <c r="D287" i="2"/>
  <c r="G285" i="2"/>
  <c r="C276" i="2"/>
  <c r="E274" i="2"/>
  <c r="I272" i="2"/>
  <c r="J272" i="2" s="1"/>
  <c r="M272" i="2" s="1"/>
  <c r="D262" i="2"/>
  <c r="N262" i="2" s="1"/>
  <c r="G252" i="2"/>
  <c r="C243" i="2"/>
  <c r="E233" i="2"/>
  <c r="I215" i="2"/>
  <c r="J215" i="2" s="1"/>
  <c r="D214" i="2"/>
  <c r="G196" i="2"/>
  <c r="C186" i="2"/>
  <c r="E176" i="2"/>
  <c r="I158" i="2"/>
  <c r="J158" i="2" s="1"/>
  <c r="D157" i="2"/>
  <c r="G155" i="2"/>
  <c r="C154" i="2"/>
  <c r="E135" i="2"/>
  <c r="I125" i="2"/>
  <c r="J125" i="2" s="1"/>
  <c r="M125" i="2" s="1"/>
  <c r="D124" i="2"/>
  <c r="N124" i="2" s="1"/>
  <c r="G114" i="2"/>
  <c r="C105" i="2"/>
  <c r="E103" i="2"/>
  <c r="I83" i="2"/>
  <c r="J83" i="2" s="1"/>
  <c r="M83" i="2" s="1"/>
  <c r="D73" i="2"/>
  <c r="G44" i="2"/>
  <c r="C43" i="2"/>
  <c r="E41" i="2"/>
  <c r="I33" i="2"/>
  <c r="J33" i="2" s="1"/>
  <c r="D25" i="2"/>
  <c r="N25" i="2" s="1"/>
  <c r="G23" i="2"/>
  <c r="C22" i="2"/>
  <c r="I234" i="6"/>
  <c r="E233" i="6"/>
  <c r="N233" i="6" s="1"/>
  <c r="C232" i="6"/>
  <c r="I225" i="6"/>
  <c r="J225" i="6" s="1"/>
  <c r="M225" i="6" s="1"/>
  <c r="E224" i="6"/>
  <c r="C223" i="6"/>
  <c r="I221" i="6"/>
  <c r="J221" i="6" s="1"/>
  <c r="E220" i="6"/>
  <c r="N220" i="6" s="1"/>
  <c r="C219" i="6"/>
  <c r="I211" i="6"/>
  <c r="J211" i="6" s="1"/>
  <c r="E210" i="6"/>
  <c r="C209" i="6"/>
  <c r="I207" i="6"/>
  <c r="J207" i="6" s="1"/>
  <c r="M207" i="6" s="1"/>
  <c r="E206" i="6"/>
  <c r="N206" i="6" s="1"/>
  <c r="C199" i="6"/>
  <c r="I197" i="6"/>
  <c r="J197" i="6" s="1"/>
  <c r="M197" i="6" s="1"/>
  <c r="E196" i="6"/>
  <c r="C195" i="6"/>
  <c r="I193" i="6"/>
  <c r="J193" i="6" s="1"/>
  <c r="E186" i="6"/>
  <c r="C185" i="6"/>
  <c r="I183" i="6"/>
  <c r="J183" i="6" s="1"/>
  <c r="E182" i="6"/>
  <c r="N182" i="6" s="1"/>
  <c r="C181" i="6"/>
  <c r="I173" i="6"/>
  <c r="J173" i="6" s="1"/>
  <c r="E172" i="6"/>
  <c r="C171" i="6"/>
  <c r="I169" i="6"/>
  <c r="J169" i="6" s="1"/>
  <c r="E162" i="6"/>
  <c r="C156" i="6"/>
  <c r="I144" i="6"/>
  <c r="J144" i="6" s="1"/>
  <c r="E138" i="6"/>
  <c r="C132" i="6"/>
  <c r="I120" i="6"/>
  <c r="J120" i="6" s="1"/>
  <c r="E114" i="6"/>
  <c r="C108" i="6"/>
  <c r="I101" i="6"/>
  <c r="J101" i="6" s="1"/>
  <c r="E100" i="6"/>
  <c r="N100" i="6" s="1"/>
  <c r="C90" i="6"/>
  <c r="G303" i="2"/>
  <c r="C302" i="2"/>
  <c r="E300" i="2"/>
  <c r="I298" i="2"/>
  <c r="J298" i="2" s="1"/>
  <c r="M298" i="2" s="1"/>
  <c r="D297" i="2"/>
  <c r="N297" i="2" s="1"/>
  <c r="G288" i="2"/>
  <c r="C287" i="2"/>
  <c r="E285" i="2"/>
  <c r="I275" i="2"/>
  <c r="J275" i="2" s="1"/>
  <c r="M275" i="2" s="1"/>
  <c r="D274" i="2"/>
  <c r="N274" i="2" s="1"/>
  <c r="G272" i="2"/>
  <c r="C262" i="2"/>
  <c r="E252" i="2"/>
  <c r="I234" i="2"/>
  <c r="J234" i="2" s="1"/>
  <c r="M234" i="2" s="1"/>
  <c r="D233" i="2"/>
  <c r="G215" i="2"/>
  <c r="C214" i="2"/>
  <c r="E196" i="2"/>
  <c r="I185" i="2"/>
  <c r="J185" i="2" s="1"/>
  <c r="D176" i="2"/>
  <c r="G158" i="2"/>
  <c r="C157" i="2"/>
  <c r="E155" i="2"/>
  <c r="I145" i="2"/>
  <c r="J145" i="2" s="1"/>
  <c r="M145" i="2" s="1"/>
  <c r="D135" i="2"/>
  <c r="N135" i="2" s="1"/>
  <c r="G125" i="2"/>
  <c r="C124" i="2"/>
  <c r="E114" i="2"/>
  <c r="I104" i="2"/>
  <c r="J104" i="2" s="1"/>
  <c r="M104" i="2" s="1"/>
  <c r="D103" i="2"/>
  <c r="G83" i="2"/>
  <c r="C73" i="2"/>
  <c r="E44" i="2"/>
  <c r="I42" i="2"/>
  <c r="J42" i="2" s="1"/>
  <c r="D41" i="2"/>
  <c r="N41" i="2" s="1"/>
  <c r="G33" i="2"/>
  <c r="C25" i="2"/>
  <c r="E23" i="2"/>
  <c r="G234" i="6"/>
  <c r="D233" i="6"/>
  <c r="G225" i="6"/>
  <c r="D224" i="6"/>
  <c r="G221" i="6"/>
  <c r="D220" i="6"/>
  <c r="G211" i="6"/>
  <c r="D210" i="6"/>
  <c r="G207" i="6"/>
  <c r="D206" i="6"/>
  <c r="G197" i="6"/>
  <c r="D196" i="6"/>
  <c r="G193" i="6"/>
  <c r="D186" i="6"/>
  <c r="G183" i="6"/>
  <c r="D182" i="6"/>
  <c r="G173" i="6"/>
  <c r="D172" i="6"/>
  <c r="G169" i="6"/>
  <c r="D162" i="6"/>
  <c r="G144" i="6"/>
  <c r="D138" i="6"/>
  <c r="G120" i="6"/>
  <c r="D114" i="6"/>
  <c r="G101" i="6"/>
  <c r="D100" i="6"/>
  <c r="E303" i="2"/>
  <c r="I301" i="2"/>
  <c r="J301" i="2" s="1"/>
  <c r="M301" i="2" s="1"/>
  <c r="D300" i="2"/>
  <c r="N300" i="2" s="1"/>
  <c r="O300" i="2" s="1"/>
  <c r="G298" i="2"/>
  <c r="C297" i="2"/>
  <c r="E288" i="2"/>
  <c r="I286" i="2"/>
  <c r="J286" i="2" s="1"/>
  <c r="D285" i="2"/>
  <c r="N285" i="2" s="1"/>
  <c r="G275" i="2"/>
  <c r="C274" i="2"/>
  <c r="E272" i="2"/>
  <c r="I253" i="2"/>
  <c r="J253" i="2" s="1"/>
  <c r="D252" i="2"/>
  <c r="N252" i="2" s="1"/>
  <c r="G234" i="2"/>
  <c r="C233" i="2"/>
  <c r="E215" i="2"/>
  <c r="I205" i="2"/>
  <c r="J205" i="2" s="1"/>
  <c r="D196" i="2"/>
  <c r="G185" i="2"/>
  <c r="C176" i="2"/>
  <c r="E158" i="2"/>
  <c r="I156" i="2"/>
  <c r="J156" i="2" s="1"/>
  <c r="D155" i="2"/>
  <c r="N155" i="2" s="1"/>
  <c r="G145" i="2"/>
  <c r="C135" i="2"/>
  <c r="E125" i="2"/>
  <c r="I123" i="2"/>
  <c r="J123" i="2" s="1"/>
  <c r="D114" i="2"/>
  <c r="N114" i="2" s="1"/>
  <c r="G104" i="2"/>
  <c r="C103" i="2"/>
  <c r="E83" i="2"/>
  <c r="I63" i="2"/>
  <c r="J63" i="2" s="1"/>
  <c r="D44" i="2"/>
  <c r="N44" i="2" s="1"/>
  <c r="G42" i="2"/>
  <c r="C41" i="2"/>
  <c r="E33" i="2"/>
  <c r="I24" i="2"/>
  <c r="J24" i="2" s="1"/>
  <c r="D23" i="2"/>
  <c r="I235" i="6"/>
  <c r="J235" i="6" s="1"/>
  <c r="M235" i="6" s="1"/>
  <c r="E234" i="6"/>
  <c r="N234" i="6" s="1"/>
  <c r="C233" i="6"/>
  <c r="I231" i="6"/>
  <c r="J231" i="6" s="1"/>
  <c r="M231" i="6" s="1"/>
  <c r="E225" i="6"/>
  <c r="N225" i="6" s="1"/>
  <c r="C224" i="6"/>
  <c r="I222" i="6"/>
  <c r="J222" i="6" s="1"/>
  <c r="E221" i="6"/>
  <c r="C220" i="6"/>
  <c r="I212" i="6"/>
  <c r="J212" i="6" s="1"/>
  <c r="M212" i="6" s="1"/>
  <c r="E211" i="6"/>
  <c r="N211" i="6" s="1"/>
  <c r="C210" i="6"/>
  <c r="I208" i="6"/>
  <c r="J208" i="6" s="1"/>
  <c r="E207" i="6"/>
  <c r="C206" i="6"/>
  <c r="I198" i="6"/>
  <c r="J198" i="6" s="1"/>
  <c r="M198" i="6" s="1"/>
  <c r="E197" i="6"/>
  <c r="C196" i="6"/>
  <c r="I194" i="6"/>
  <c r="J194" i="6" s="1"/>
  <c r="M194" i="6" s="1"/>
  <c r="E193" i="6"/>
  <c r="C186" i="6"/>
  <c r="I184" i="6"/>
  <c r="J184" i="6" s="1"/>
  <c r="E183" i="6"/>
  <c r="C182" i="6"/>
  <c r="I180" i="6"/>
  <c r="J180" i="6" s="1"/>
  <c r="E173" i="6"/>
  <c r="N173" i="6" s="1"/>
  <c r="C172" i="6"/>
  <c r="I170" i="6"/>
  <c r="J170" i="6" s="1"/>
  <c r="E169" i="6"/>
  <c r="C162" i="6"/>
  <c r="I150" i="6"/>
  <c r="J150" i="6" s="1"/>
  <c r="E144" i="6"/>
  <c r="C138" i="6"/>
  <c r="I126" i="6"/>
  <c r="J126" i="6" s="1"/>
  <c r="E120" i="6"/>
  <c r="N120" i="6" s="1"/>
  <c r="C114" i="6"/>
  <c r="D303" i="2"/>
  <c r="N303" i="2" s="1"/>
  <c r="G301" i="2"/>
  <c r="C300" i="2"/>
  <c r="E298" i="2"/>
  <c r="I289" i="2"/>
  <c r="J289" i="2" s="1"/>
  <c r="D288" i="2"/>
  <c r="N288" i="2" s="1"/>
  <c r="G286" i="2"/>
  <c r="C285" i="2"/>
  <c r="E275" i="2"/>
  <c r="I273" i="2"/>
  <c r="J273" i="2" s="1"/>
  <c r="M273" i="2" s="1"/>
  <c r="D272" i="2"/>
  <c r="N272" i="2" s="1"/>
  <c r="G253" i="2"/>
  <c r="C252" i="2"/>
  <c r="E234" i="2"/>
  <c r="I224" i="2"/>
  <c r="J224" i="2" s="1"/>
  <c r="D215" i="2"/>
  <c r="G205" i="2"/>
  <c r="C196" i="2"/>
  <c r="E185" i="2"/>
  <c r="I167" i="2"/>
  <c r="J167" i="2" s="1"/>
  <c r="D158" i="2"/>
  <c r="G156" i="2"/>
  <c r="C155" i="2"/>
  <c r="E145" i="2"/>
  <c r="I126" i="2"/>
  <c r="J126" i="2" s="1"/>
  <c r="M126" i="2" s="1"/>
  <c r="D125" i="2"/>
  <c r="N125" i="2" s="1"/>
  <c r="G123" i="2"/>
  <c r="C114" i="2"/>
  <c r="E104" i="2"/>
  <c r="I92" i="2"/>
  <c r="J92" i="2" s="1"/>
  <c r="M92" i="2" s="1"/>
  <c r="D83" i="2"/>
  <c r="N83" i="2" s="1"/>
  <c r="G63" i="2"/>
  <c r="C44" i="2"/>
  <c r="E42" i="2"/>
  <c r="I40" i="2"/>
  <c r="J40" i="2" s="1"/>
  <c r="D33" i="2"/>
  <c r="G24" i="2"/>
  <c r="C23" i="2"/>
  <c r="G235" i="6"/>
  <c r="D234" i="6"/>
  <c r="G231" i="6"/>
  <c r="D225" i="6"/>
  <c r="G222" i="6"/>
  <c r="D221" i="6"/>
  <c r="G212" i="6"/>
  <c r="D211" i="6"/>
  <c r="G208" i="6"/>
  <c r="D207" i="6"/>
  <c r="G198" i="6"/>
  <c r="D197" i="6"/>
  <c r="G194" i="6"/>
  <c r="D193" i="6"/>
  <c r="G184" i="6"/>
  <c r="D183" i="6"/>
  <c r="G180" i="6"/>
  <c r="D173" i="6"/>
  <c r="G170" i="6"/>
  <c r="D169" i="6"/>
  <c r="G150" i="6"/>
  <c r="D144" i="6"/>
  <c r="G126" i="6"/>
  <c r="D120" i="6"/>
  <c r="G102" i="6"/>
  <c r="D101" i="6"/>
  <c r="C303" i="2"/>
  <c r="E301" i="2"/>
  <c r="I299" i="2"/>
  <c r="J299" i="2" s="1"/>
  <c r="M299" i="2" s="1"/>
  <c r="D298" i="2"/>
  <c r="N298" i="2" s="1"/>
  <c r="O298" i="2" s="1"/>
  <c r="G289" i="2"/>
  <c r="C288" i="2"/>
  <c r="E286" i="2"/>
  <c r="I276" i="2"/>
  <c r="J276" i="2" s="1"/>
  <c r="D275" i="2"/>
  <c r="N275" i="2" s="1"/>
  <c r="G273" i="2"/>
  <c r="C272" i="2"/>
  <c r="E253" i="2"/>
  <c r="I243" i="2"/>
  <c r="J243" i="2" s="1"/>
  <c r="D234" i="2"/>
  <c r="N234" i="2" s="1"/>
  <c r="G224" i="2"/>
  <c r="C215" i="2"/>
  <c r="E205" i="2"/>
  <c r="I186" i="2"/>
  <c r="J186" i="2" s="1"/>
  <c r="D185" i="2"/>
  <c r="G167" i="2"/>
  <c r="C158" i="2"/>
  <c r="E156" i="2"/>
  <c r="I154" i="2"/>
  <c r="J154" i="2" s="1"/>
  <c r="M154" i="2" s="1"/>
  <c r="O154" i="2" s="1"/>
  <c r="D145" i="2"/>
  <c r="N145" i="2" s="1"/>
  <c r="G126" i="2"/>
  <c r="C125" i="2"/>
  <c r="E123" i="2"/>
  <c r="I105" i="2"/>
  <c r="J105" i="2" s="1"/>
  <c r="M105" i="2" s="1"/>
  <c r="D104" i="2"/>
  <c r="N104" i="2" s="1"/>
  <c r="O104" i="2" s="1"/>
  <c r="G92" i="2"/>
  <c r="C83" i="2"/>
  <c r="E63" i="2"/>
  <c r="I43" i="2"/>
  <c r="J43" i="2" s="1"/>
  <c r="D42" i="2"/>
  <c r="N42" i="2" s="1"/>
  <c r="G40" i="2"/>
  <c r="C33" i="2"/>
  <c r="E24" i="2"/>
  <c r="I22" i="2"/>
  <c r="J22" i="2" s="1"/>
  <c r="E235" i="6"/>
  <c r="N235" i="6" s="1"/>
  <c r="C234" i="6"/>
  <c r="I232" i="6"/>
  <c r="J232" i="6" s="1"/>
  <c r="M232" i="6" s="1"/>
  <c r="E231" i="6"/>
  <c r="N231" i="6" s="1"/>
  <c r="C225" i="6"/>
  <c r="I223" i="6"/>
  <c r="J223" i="6" s="1"/>
  <c r="M223" i="6" s="1"/>
  <c r="E222" i="6"/>
  <c r="N222" i="6" s="1"/>
  <c r="C221" i="6"/>
  <c r="I219" i="6"/>
  <c r="J219" i="6" s="1"/>
  <c r="M219" i="6" s="1"/>
  <c r="E212" i="6"/>
  <c r="C211" i="6"/>
  <c r="I209" i="6"/>
  <c r="J209" i="6" s="1"/>
  <c r="E208" i="6"/>
  <c r="C207" i="6"/>
  <c r="I199" i="6"/>
  <c r="J199" i="6" s="1"/>
  <c r="M199" i="6" s="1"/>
  <c r="E198" i="6"/>
  <c r="N198" i="6" s="1"/>
  <c r="C197" i="6"/>
  <c r="I195" i="6"/>
  <c r="J195" i="6" s="1"/>
  <c r="E194" i="6"/>
  <c r="C193" i="6"/>
  <c r="I185" i="6"/>
  <c r="J185" i="6" s="1"/>
  <c r="E184" i="6"/>
  <c r="C183" i="6"/>
  <c r="I181" i="6"/>
  <c r="J181" i="6" s="1"/>
  <c r="M181" i="6" s="1"/>
  <c r="E180" i="6"/>
  <c r="N180" i="6" s="1"/>
  <c r="C173" i="6"/>
  <c r="I171" i="6"/>
  <c r="J171" i="6" s="1"/>
  <c r="E170" i="6"/>
  <c r="C169" i="6"/>
  <c r="I156" i="6"/>
  <c r="J156" i="6" s="1"/>
  <c r="M156" i="6" s="1"/>
  <c r="E150" i="6"/>
  <c r="N150" i="6" s="1"/>
  <c r="C144" i="6"/>
  <c r="I132" i="6"/>
  <c r="J132" i="6" s="1"/>
  <c r="E126" i="6"/>
  <c r="C120" i="6"/>
  <c r="I108" i="6"/>
  <c r="J108" i="6" s="1"/>
  <c r="E102" i="6"/>
  <c r="C101" i="6"/>
  <c r="I302" i="2"/>
  <c r="J302" i="2" s="1"/>
  <c r="M302" i="2" s="1"/>
  <c r="D301" i="2"/>
  <c r="N301" i="2" s="1"/>
  <c r="O301" i="2" s="1"/>
  <c r="G299" i="2"/>
  <c r="C298" i="2"/>
  <c r="E289" i="2"/>
  <c r="I287" i="2"/>
  <c r="J287" i="2" s="1"/>
  <c r="D286" i="2"/>
  <c r="G276" i="2"/>
  <c r="C275" i="2"/>
  <c r="E273" i="2"/>
  <c r="I262" i="2"/>
  <c r="J262" i="2" s="1"/>
  <c r="M262" i="2" s="1"/>
  <c r="O262" i="2" s="1"/>
  <c r="D253" i="2"/>
  <c r="G243" i="2"/>
  <c r="C234" i="2"/>
  <c r="E224" i="2"/>
  <c r="I214" i="2"/>
  <c r="J214" i="2" s="1"/>
  <c r="D205" i="2"/>
  <c r="G186" i="2"/>
  <c r="C185" i="2"/>
  <c r="E167" i="2"/>
  <c r="I157" i="2"/>
  <c r="J157" i="2" s="1"/>
  <c r="D156" i="2"/>
  <c r="G154" i="2"/>
  <c r="C145" i="2"/>
  <c r="E126" i="2"/>
  <c r="I124" i="2"/>
  <c r="J124" i="2" s="1"/>
  <c r="M124" i="2" s="1"/>
  <c r="D123" i="2"/>
  <c r="G105" i="2"/>
  <c r="C104" i="2"/>
  <c r="E92" i="2"/>
  <c r="I73" i="2"/>
  <c r="J73" i="2" s="1"/>
  <c r="D63" i="2"/>
  <c r="G43" i="2"/>
  <c r="C42" i="2"/>
  <c r="E40" i="2"/>
  <c r="I25" i="2"/>
  <c r="J25" i="2" s="1"/>
  <c r="D24" i="2"/>
  <c r="G22" i="2"/>
  <c r="D235" i="6"/>
  <c r="G232" i="6"/>
  <c r="D231" i="6"/>
  <c r="G223" i="6"/>
  <c r="D222" i="6"/>
  <c r="G219" i="6"/>
  <c r="D212" i="6"/>
  <c r="G209" i="6"/>
  <c r="D208" i="6"/>
  <c r="G199" i="6"/>
  <c r="D198" i="6"/>
  <c r="G195" i="6"/>
  <c r="D194" i="6"/>
  <c r="G185" i="6"/>
  <c r="D184" i="6"/>
  <c r="G181" i="6"/>
  <c r="D180" i="6"/>
  <c r="G171" i="6"/>
  <c r="D170" i="6"/>
  <c r="G156" i="6"/>
  <c r="D150" i="6"/>
  <c r="G132" i="6"/>
  <c r="D126" i="6"/>
  <c r="G108" i="6"/>
  <c r="D102" i="6"/>
  <c r="G90" i="6"/>
  <c r="C286" i="2"/>
  <c r="D224" i="2"/>
  <c r="E154" i="2"/>
  <c r="G73" i="2"/>
  <c r="C235" i="6"/>
  <c r="E219" i="6"/>
  <c r="I196" i="6"/>
  <c r="J196" i="6" s="1"/>
  <c r="C180" i="6"/>
  <c r="E132" i="6"/>
  <c r="C100" i="6"/>
  <c r="C89" i="6"/>
  <c r="I87" i="6"/>
  <c r="J87" i="6" s="1"/>
  <c r="E86" i="6"/>
  <c r="C85" i="6"/>
  <c r="I77" i="6"/>
  <c r="J77" i="6" s="1"/>
  <c r="E71" i="6"/>
  <c r="N71" i="6" s="1"/>
  <c r="C65" i="6"/>
  <c r="I37" i="6"/>
  <c r="J37" i="6" s="1"/>
  <c r="M37" i="6" s="1"/>
  <c r="E36" i="6"/>
  <c r="N36" i="6" s="1"/>
  <c r="C35" i="6"/>
  <c r="I33" i="6"/>
  <c r="J33" i="6" s="1"/>
  <c r="E32" i="6"/>
  <c r="C31" i="6"/>
  <c r="I23" i="6"/>
  <c r="J23" i="6" s="1"/>
  <c r="E22" i="6"/>
  <c r="N22" i="6" s="1"/>
  <c r="C21" i="6"/>
  <c r="I19" i="6"/>
  <c r="J19" i="6" s="1"/>
  <c r="M19" i="6" s="1"/>
  <c r="E18" i="6"/>
  <c r="C84" i="6"/>
  <c r="C20" i="6"/>
  <c r="G287" i="2"/>
  <c r="I138" i="6"/>
  <c r="J138" i="6" s="1"/>
  <c r="G86" i="6"/>
  <c r="D35" i="6"/>
  <c r="G22" i="6"/>
  <c r="E276" i="2"/>
  <c r="G214" i="2"/>
  <c r="I135" i="2"/>
  <c r="J135" i="2" s="1"/>
  <c r="C63" i="2"/>
  <c r="I233" i="6"/>
  <c r="J233" i="6" s="1"/>
  <c r="M233" i="6" s="1"/>
  <c r="C212" i="6"/>
  <c r="E195" i="6"/>
  <c r="N195" i="6" s="1"/>
  <c r="I172" i="6"/>
  <c r="J172" i="6" s="1"/>
  <c r="C126" i="6"/>
  <c r="I90" i="6"/>
  <c r="J90" i="6" s="1"/>
  <c r="G87" i="6"/>
  <c r="D86" i="6"/>
  <c r="G77" i="6"/>
  <c r="D71" i="6"/>
  <c r="G37" i="6"/>
  <c r="D36" i="6"/>
  <c r="G33" i="6"/>
  <c r="D32" i="6"/>
  <c r="G23" i="6"/>
  <c r="D22" i="6"/>
  <c r="G19" i="6"/>
  <c r="D18" i="6"/>
  <c r="G157" i="2"/>
  <c r="I182" i="6"/>
  <c r="J182" i="6" s="1"/>
  <c r="M182" i="6" s="1"/>
  <c r="E89" i="6"/>
  <c r="E85" i="6"/>
  <c r="C59" i="6"/>
  <c r="C34" i="6"/>
  <c r="E31" i="6"/>
  <c r="E21" i="6"/>
  <c r="N21" i="6" s="1"/>
  <c r="E22" i="2"/>
  <c r="I100" i="6"/>
  <c r="J100" i="6" s="1"/>
  <c r="D85" i="6"/>
  <c r="G302" i="2"/>
  <c r="I274" i="2"/>
  <c r="J274" i="2" s="1"/>
  <c r="M274" i="2" s="1"/>
  <c r="C205" i="2"/>
  <c r="D126" i="2"/>
  <c r="N126" i="2" s="1"/>
  <c r="O126" i="2" s="1"/>
  <c r="E43" i="2"/>
  <c r="E232" i="6"/>
  <c r="N232" i="6" s="1"/>
  <c r="O232" i="6" s="1"/>
  <c r="I210" i="6"/>
  <c r="J210" i="6" s="1"/>
  <c r="N210" i="6" s="1"/>
  <c r="C194" i="6"/>
  <c r="E171" i="6"/>
  <c r="I114" i="6"/>
  <c r="J114" i="6" s="1"/>
  <c r="E90" i="6"/>
  <c r="I88" i="6"/>
  <c r="J88" i="6" s="1"/>
  <c r="M88" i="6" s="1"/>
  <c r="E87" i="6"/>
  <c r="N87" i="6" s="1"/>
  <c r="C86" i="6"/>
  <c r="I84" i="6"/>
  <c r="J84" i="6" s="1"/>
  <c r="E77" i="6"/>
  <c r="C71" i="6"/>
  <c r="I59" i="6"/>
  <c r="J59" i="6" s="1"/>
  <c r="E37" i="6"/>
  <c r="C36" i="6"/>
  <c r="I34" i="6"/>
  <c r="J34" i="6" s="1"/>
  <c r="E33" i="6"/>
  <c r="N33" i="6" s="1"/>
  <c r="C32" i="6"/>
  <c r="I24" i="6"/>
  <c r="J24" i="6" s="1"/>
  <c r="E23" i="6"/>
  <c r="C22" i="6"/>
  <c r="I20" i="6"/>
  <c r="J20" i="6" s="1"/>
  <c r="E19" i="6"/>
  <c r="C18" i="6"/>
  <c r="E243" i="2"/>
  <c r="C222" i="6"/>
  <c r="C150" i="6"/>
  <c r="C88" i="6"/>
  <c r="E65" i="6"/>
  <c r="I32" i="6"/>
  <c r="J32" i="6" s="1"/>
  <c r="I22" i="6"/>
  <c r="J22" i="6" s="1"/>
  <c r="C156" i="2"/>
  <c r="G71" i="6"/>
  <c r="C301" i="2"/>
  <c r="D273" i="2"/>
  <c r="N273" i="2" s="1"/>
  <c r="E186" i="2"/>
  <c r="G124" i="2"/>
  <c r="I41" i="2"/>
  <c r="J41" i="2" s="1"/>
  <c r="C231" i="6"/>
  <c r="E209" i="6"/>
  <c r="I186" i="6"/>
  <c r="J186" i="6" s="1"/>
  <c r="M186" i="6" s="1"/>
  <c r="C170" i="6"/>
  <c r="E108" i="6"/>
  <c r="G88" i="6"/>
  <c r="D87" i="6"/>
  <c r="G84" i="6"/>
  <c r="D77" i="6"/>
  <c r="G59" i="6"/>
  <c r="D37" i="6"/>
  <c r="G34" i="6"/>
  <c r="D33" i="6"/>
  <c r="G24" i="6"/>
  <c r="D23" i="6"/>
  <c r="G20" i="6"/>
  <c r="D19" i="6"/>
  <c r="D92" i="2"/>
  <c r="N92" i="2" s="1"/>
  <c r="E181" i="6"/>
  <c r="N181" i="6" s="1"/>
  <c r="G36" i="6"/>
  <c r="D21" i="6"/>
  <c r="E299" i="2"/>
  <c r="G262" i="2"/>
  <c r="I176" i="2"/>
  <c r="J176" i="2" s="1"/>
  <c r="C123" i="2"/>
  <c r="D40" i="2"/>
  <c r="N40" i="2" s="1"/>
  <c r="I224" i="6"/>
  <c r="J224" i="6" s="1"/>
  <c r="M224" i="6" s="1"/>
  <c r="C208" i="6"/>
  <c r="E185" i="6"/>
  <c r="I162" i="6"/>
  <c r="J162" i="6" s="1"/>
  <c r="I102" i="6"/>
  <c r="J102" i="6" s="1"/>
  <c r="I89" i="6"/>
  <c r="J89" i="6" s="1"/>
  <c r="E88" i="6"/>
  <c r="N88" i="6" s="1"/>
  <c r="C87" i="6"/>
  <c r="I85" i="6"/>
  <c r="J85" i="6" s="1"/>
  <c r="N85" i="6" s="1"/>
  <c r="E84" i="6"/>
  <c r="N84" i="6" s="1"/>
  <c r="C77" i="6"/>
  <c r="I65" i="6"/>
  <c r="J65" i="6" s="1"/>
  <c r="E59" i="6"/>
  <c r="C37" i="6"/>
  <c r="I35" i="6"/>
  <c r="J35" i="6" s="1"/>
  <c r="E34" i="6"/>
  <c r="N34" i="6" s="1"/>
  <c r="C33" i="6"/>
  <c r="I31" i="6"/>
  <c r="J31" i="6" s="1"/>
  <c r="N31" i="6" s="1"/>
  <c r="E24" i="6"/>
  <c r="C23" i="6"/>
  <c r="I21" i="6"/>
  <c r="J21" i="6" s="1"/>
  <c r="E20" i="6"/>
  <c r="N20" i="6" s="1"/>
  <c r="C19" i="6"/>
  <c r="I36" i="6"/>
  <c r="J36" i="6" s="1"/>
  <c r="M36" i="6" s="1"/>
  <c r="I18" i="6"/>
  <c r="J18" i="6" s="1"/>
  <c r="N18" i="6" s="1"/>
  <c r="I220" i="6"/>
  <c r="J220" i="6" s="1"/>
  <c r="M220" i="6" s="1"/>
  <c r="C198" i="6"/>
  <c r="D65" i="6"/>
  <c r="G32" i="6"/>
  <c r="G18" i="6"/>
  <c r="I297" i="2"/>
  <c r="J297" i="2" s="1"/>
  <c r="M297" i="2" s="1"/>
  <c r="O297" i="2" s="1"/>
  <c r="C253" i="2"/>
  <c r="D167" i="2"/>
  <c r="E105" i="2"/>
  <c r="G25" i="2"/>
  <c r="E223" i="6"/>
  <c r="N223" i="6" s="1"/>
  <c r="I206" i="6"/>
  <c r="J206" i="6" s="1"/>
  <c r="C184" i="6"/>
  <c r="E156" i="6"/>
  <c r="N156" i="6" s="1"/>
  <c r="C102" i="6"/>
  <c r="G89" i="6"/>
  <c r="D88" i="6"/>
  <c r="G85" i="6"/>
  <c r="D84" i="6"/>
  <c r="G65" i="6"/>
  <c r="D59" i="6"/>
  <c r="G35" i="6"/>
  <c r="D34" i="6"/>
  <c r="G31" i="6"/>
  <c r="D24" i="6"/>
  <c r="G21" i="6"/>
  <c r="D20" i="6"/>
  <c r="D289" i="2"/>
  <c r="N289" i="2" s="1"/>
  <c r="I103" i="2"/>
  <c r="J103" i="2" s="1"/>
  <c r="C24" i="2"/>
  <c r="E199" i="6"/>
  <c r="N199" i="6" s="1"/>
  <c r="E101" i="6"/>
  <c r="N101" i="6" s="1"/>
  <c r="I86" i="6"/>
  <c r="J86" i="6" s="1"/>
  <c r="M86" i="6" s="1"/>
  <c r="I71" i="6"/>
  <c r="J71" i="6" s="1"/>
  <c r="E35" i="6"/>
  <c r="C24" i="6"/>
  <c r="I233" i="2"/>
  <c r="J233" i="2" s="1"/>
  <c r="D89" i="6"/>
  <c r="D31" i="6"/>
  <c r="O273" i="2"/>
  <c r="O105" i="2"/>
  <c r="O125" i="2"/>
  <c r="O124" i="2"/>
  <c r="O274" i="2"/>
  <c r="O225" i="6"/>
  <c r="O299" i="2"/>
  <c r="O302" i="2"/>
  <c r="O272" i="2"/>
  <c r="O303" i="2"/>
  <c r="V16" i="2"/>
  <c r="X16" i="2"/>
  <c r="W16" i="6"/>
  <c r="W16" i="2"/>
  <c r="X16" i="6"/>
  <c r="Z16" i="6"/>
  <c r="AB16" i="2"/>
  <c r="AC16" i="2" s="1"/>
  <c r="Z16" i="2"/>
  <c r="AB16" i="6"/>
  <c r="AC16" i="6" s="1"/>
  <c r="N282" i="2"/>
  <c r="N94" i="2"/>
  <c r="M283" i="2"/>
  <c r="N93" i="2"/>
  <c r="M93" i="2"/>
  <c r="M295" i="2"/>
  <c r="N247" i="2"/>
  <c r="N38" i="2"/>
  <c r="M140" i="2"/>
  <c r="M293" i="2"/>
  <c r="N284" i="2"/>
  <c r="M31" i="2"/>
  <c r="M282" i="2"/>
  <c r="O282" i="2" s="1"/>
  <c r="N294" i="2"/>
  <c r="N238" i="2"/>
  <c r="M294" i="2"/>
  <c r="N281" i="2"/>
  <c r="N149" i="2"/>
  <c r="N280" i="2"/>
  <c r="N293" i="2"/>
  <c r="O293" i="2" s="1"/>
  <c r="M94" i="2"/>
  <c r="M281" i="2"/>
  <c r="N140" i="2"/>
  <c r="M280" i="2"/>
  <c r="M149" i="2"/>
  <c r="N31" i="2"/>
  <c r="N257" i="2"/>
  <c r="M70" i="6"/>
  <c r="N75" i="6"/>
  <c r="M128" i="2"/>
  <c r="N142" i="2"/>
  <c r="O142" i="2" s="1"/>
  <c r="M135" i="2"/>
  <c r="M220" i="2"/>
  <c r="M288" i="2"/>
  <c r="N24" i="2"/>
  <c r="M78" i="2"/>
  <c r="M24" i="2"/>
  <c r="M199" i="2"/>
  <c r="N128" i="2"/>
  <c r="M289" i="2"/>
  <c r="N220" i="2"/>
  <c r="M25" i="2"/>
  <c r="N78" i="2"/>
  <c r="N199" i="2"/>
  <c r="N160" i="6"/>
  <c r="N146" i="6"/>
  <c r="N136" i="6"/>
  <c r="M108" i="6"/>
  <c r="N86" i="6"/>
  <c r="N82" i="6"/>
  <c r="N72" i="6"/>
  <c r="M69" i="6"/>
  <c r="M59" i="6"/>
  <c r="N50" i="6"/>
  <c r="M41" i="6"/>
  <c r="N32" i="6"/>
  <c r="M22" i="6"/>
  <c r="M185" i="6"/>
  <c r="N179" i="6"/>
  <c r="N161" i="6"/>
  <c r="M148" i="6"/>
  <c r="N137" i="6"/>
  <c r="N133" i="6"/>
  <c r="N108" i="6"/>
  <c r="N73" i="6"/>
  <c r="N69" i="6"/>
  <c r="M60" i="6"/>
  <c r="M23" i="6"/>
  <c r="N171" i="6"/>
  <c r="N152" i="6"/>
  <c r="N148" i="6"/>
  <c r="M135" i="6"/>
  <c r="N134" i="6"/>
  <c r="M120" i="6"/>
  <c r="N114" i="6"/>
  <c r="N80" i="6"/>
  <c r="N70" i="6"/>
  <c r="N60" i="6"/>
  <c r="N48" i="6"/>
  <c r="M24" i="6"/>
  <c r="N19" i="6"/>
  <c r="N135" i="6"/>
  <c r="N215" i="6"/>
  <c r="N149" i="6"/>
  <c r="N49" i="6"/>
  <c r="N172" i="6"/>
  <c r="N24" i="6"/>
  <c r="N159" i="6"/>
  <c r="M136" i="6"/>
  <c r="N67" i="6"/>
  <c r="M21" i="6"/>
  <c r="O48" i="2"/>
  <c r="O114" i="2"/>
  <c r="O137" i="2"/>
  <c r="O169" i="2"/>
  <c r="O252" i="2"/>
  <c r="O151" i="2"/>
  <c r="L22" i="2"/>
  <c r="P222" i="6"/>
  <c r="M222" i="6"/>
  <c r="P221" i="6"/>
  <c r="Q221" i="6" s="1"/>
  <c r="P220" i="6"/>
  <c r="P219" i="6"/>
  <c r="R219" i="6" s="1"/>
  <c r="N219" i="6"/>
  <c r="P218" i="6"/>
  <c r="Q218" i="6" s="1"/>
  <c r="N218" i="6"/>
  <c r="P217" i="6"/>
  <c r="N217" i="6"/>
  <c r="M217" i="6"/>
  <c r="P216" i="6"/>
  <c r="N216" i="6"/>
  <c r="M216" i="6"/>
  <c r="P215" i="6"/>
  <c r="R215" i="6" s="1"/>
  <c r="P214" i="6"/>
  <c r="N214" i="6"/>
  <c r="M214" i="6"/>
  <c r="P213" i="6"/>
  <c r="R213" i="6" s="1"/>
  <c r="N213" i="6"/>
  <c r="M213" i="6"/>
  <c r="P212" i="6"/>
  <c r="Q212" i="6" s="1"/>
  <c r="N212" i="6"/>
  <c r="P211" i="6"/>
  <c r="M211" i="6"/>
  <c r="P210" i="6"/>
  <c r="P209" i="6"/>
  <c r="R209" i="6" s="1"/>
  <c r="P208" i="6"/>
  <c r="N208" i="6"/>
  <c r="M208" i="6"/>
  <c r="P207" i="6"/>
  <c r="R207" i="6" s="1"/>
  <c r="N207" i="6"/>
  <c r="P206" i="6"/>
  <c r="R206" i="6" s="1"/>
  <c r="P205" i="6"/>
  <c r="N205" i="6"/>
  <c r="P204" i="6"/>
  <c r="N204" i="6"/>
  <c r="P203" i="6"/>
  <c r="R203" i="6" s="1"/>
  <c r="P202" i="6"/>
  <c r="N202" i="6"/>
  <c r="M202" i="6"/>
  <c r="P201" i="6"/>
  <c r="Q201" i="6" s="1"/>
  <c r="N201" i="6"/>
  <c r="M201" i="6"/>
  <c r="P200" i="6"/>
  <c r="Q200" i="6" s="1"/>
  <c r="M200" i="6"/>
  <c r="N200" i="6"/>
  <c r="P199" i="6"/>
  <c r="P198" i="6"/>
  <c r="P197" i="6"/>
  <c r="R197" i="6" s="1"/>
  <c r="P196" i="6"/>
  <c r="N196" i="6"/>
  <c r="M196" i="6"/>
  <c r="P195" i="6"/>
  <c r="R195" i="6" s="1"/>
  <c r="M195" i="6"/>
  <c r="P194" i="6"/>
  <c r="N194" i="6"/>
  <c r="P193" i="6"/>
  <c r="N193" i="6"/>
  <c r="P192" i="6"/>
  <c r="N192" i="6"/>
  <c r="P191" i="6"/>
  <c r="P190" i="6"/>
  <c r="N190" i="6"/>
  <c r="P189" i="6"/>
  <c r="N189" i="6"/>
  <c r="M189" i="6"/>
  <c r="P188" i="6"/>
  <c r="R188" i="6" s="1"/>
  <c r="M188" i="6"/>
  <c r="N188" i="6"/>
  <c r="P187" i="6"/>
  <c r="N187" i="6"/>
  <c r="M187" i="6"/>
  <c r="P186" i="6"/>
  <c r="N186" i="6"/>
  <c r="P185" i="6"/>
  <c r="R185" i="6" s="1"/>
  <c r="P184" i="6"/>
  <c r="N184" i="6"/>
  <c r="P183" i="6"/>
  <c r="Q183" i="6" s="1"/>
  <c r="N183" i="6"/>
  <c r="P182" i="6"/>
  <c r="P181" i="6"/>
  <c r="P180" i="6"/>
  <c r="M180" i="6"/>
  <c r="P179" i="6"/>
  <c r="R179" i="6" s="1"/>
  <c r="P178" i="6"/>
  <c r="N178" i="6"/>
  <c r="M178" i="6"/>
  <c r="P177" i="6"/>
  <c r="R177" i="6" s="1"/>
  <c r="N177" i="6"/>
  <c r="P176" i="6"/>
  <c r="M176" i="6"/>
  <c r="N176" i="6"/>
  <c r="P175" i="6"/>
  <c r="N175" i="6"/>
  <c r="M175" i="6"/>
  <c r="P174" i="6"/>
  <c r="R174" i="6" s="1"/>
  <c r="N174" i="6"/>
  <c r="M174" i="6"/>
  <c r="P173" i="6"/>
  <c r="R173" i="6" s="1"/>
  <c r="P172" i="6"/>
  <c r="P171" i="6"/>
  <c r="R171" i="6" s="1"/>
  <c r="P170" i="6"/>
  <c r="N170" i="6"/>
  <c r="P169" i="6"/>
  <c r="N169" i="6"/>
  <c r="P168" i="6"/>
  <c r="N168" i="6"/>
  <c r="P167" i="6"/>
  <c r="N167" i="6"/>
  <c r="P166" i="6"/>
  <c r="N166" i="6"/>
  <c r="M166" i="6"/>
  <c r="P165" i="6"/>
  <c r="R165" i="6" s="1"/>
  <c r="N165" i="6"/>
  <c r="M165" i="6"/>
  <c r="P164" i="6"/>
  <c r="N164" i="6"/>
  <c r="P163" i="6"/>
  <c r="N163" i="6"/>
  <c r="P162" i="6"/>
  <c r="P161" i="6"/>
  <c r="M161" i="6"/>
  <c r="P160" i="6"/>
  <c r="M160" i="6"/>
  <c r="P159" i="6"/>
  <c r="R159" i="6" s="1"/>
  <c r="M159" i="6"/>
  <c r="P158" i="6"/>
  <c r="N158" i="6"/>
  <c r="P157" i="6"/>
  <c r="N157" i="6"/>
  <c r="M157" i="6"/>
  <c r="P156" i="6"/>
  <c r="R156" i="6" s="1"/>
  <c r="P155" i="6"/>
  <c r="N155" i="6"/>
  <c r="M155" i="6"/>
  <c r="P154" i="6"/>
  <c r="N154" i="6"/>
  <c r="M154" i="6"/>
  <c r="P153" i="6"/>
  <c r="R153" i="6" s="1"/>
  <c r="N153" i="6"/>
  <c r="P152" i="6"/>
  <c r="P151" i="6"/>
  <c r="N151" i="6"/>
  <c r="P150" i="6"/>
  <c r="Q150" i="6" s="1"/>
  <c r="P149" i="6"/>
  <c r="P148" i="6"/>
  <c r="P147" i="6"/>
  <c r="P146" i="6"/>
  <c r="P145" i="6"/>
  <c r="R145" i="6" s="1"/>
  <c r="N145" i="6"/>
  <c r="P144" i="6"/>
  <c r="P143" i="6"/>
  <c r="N143" i="6"/>
  <c r="P142" i="6"/>
  <c r="N142" i="6"/>
  <c r="P141" i="6"/>
  <c r="R141" i="6" s="1"/>
  <c r="N141" i="6"/>
  <c r="P140" i="6"/>
  <c r="R140" i="6" s="1"/>
  <c r="N140" i="6"/>
  <c r="P139" i="6"/>
  <c r="N139" i="6"/>
  <c r="P138" i="6"/>
  <c r="P137" i="6"/>
  <c r="P136" i="6"/>
  <c r="P135" i="6"/>
  <c r="R135" i="6" s="1"/>
  <c r="P134" i="6"/>
  <c r="R134" i="6" s="1"/>
  <c r="M134" i="6"/>
  <c r="P133" i="6"/>
  <c r="R133" i="6" s="1"/>
  <c r="P132" i="6"/>
  <c r="Q132" i="6" s="1"/>
  <c r="P131" i="6"/>
  <c r="N131" i="6"/>
  <c r="M131" i="6"/>
  <c r="P130" i="6"/>
  <c r="N130" i="6"/>
  <c r="P129" i="6"/>
  <c r="N129" i="6"/>
  <c r="M129" i="6"/>
  <c r="P128" i="6"/>
  <c r="Q128" i="6" s="1"/>
  <c r="M128" i="6"/>
  <c r="N128" i="6"/>
  <c r="P127" i="6"/>
  <c r="N127" i="6"/>
  <c r="P126" i="6"/>
  <c r="P125" i="6"/>
  <c r="N125" i="6"/>
  <c r="M125" i="6"/>
  <c r="P124" i="6"/>
  <c r="N124" i="6"/>
  <c r="P123" i="6"/>
  <c r="N123" i="6"/>
  <c r="M123" i="6"/>
  <c r="P122" i="6"/>
  <c r="R122" i="6" s="1"/>
  <c r="N122" i="6"/>
  <c r="M122" i="6"/>
  <c r="P121" i="6"/>
  <c r="R121" i="6" s="1"/>
  <c r="N121" i="6"/>
  <c r="M121" i="6"/>
  <c r="P120" i="6"/>
  <c r="R120" i="6" s="1"/>
  <c r="P119" i="6"/>
  <c r="N119" i="6"/>
  <c r="M119" i="6"/>
  <c r="I119" i="6" s="1"/>
  <c r="J119" i="6" s="1"/>
  <c r="I83" i="6" s="1"/>
  <c r="J83" i="6" s="1"/>
  <c r="P118" i="6"/>
  <c r="M118" i="6"/>
  <c r="N118" i="6"/>
  <c r="P117" i="6"/>
  <c r="R117" i="6" s="1"/>
  <c r="N117" i="6"/>
  <c r="P116" i="6"/>
  <c r="N116" i="6"/>
  <c r="M116" i="6"/>
  <c r="P115" i="6"/>
  <c r="R115" i="6" s="1"/>
  <c r="M115" i="6"/>
  <c r="N115" i="6"/>
  <c r="P114" i="6"/>
  <c r="R114" i="6" s="1"/>
  <c r="P113" i="6"/>
  <c r="N113" i="6"/>
  <c r="M113" i="6"/>
  <c r="P112" i="6"/>
  <c r="N112" i="6"/>
  <c r="M112" i="6"/>
  <c r="P111" i="6"/>
  <c r="R111" i="6" s="1"/>
  <c r="N111" i="6"/>
  <c r="P110" i="6"/>
  <c r="N110" i="6"/>
  <c r="M110" i="6"/>
  <c r="P109" i="6"/>
  <c r="R109" i="6" s="1"/>
  <c r="N109" i="6"/>
  <c r="M109" i="6"/>
  <c r="P108" i="6"/>
  <c r="R108" i="6" s="1"/>
  <c r="P107" i="6"/>
  <c r="N107" i="6"/>
  <c r="P106" i="6"/>
  <c r="N106" i="6"/>
  <c r="P105" i="6"/>
  <c r="R105" i="6" s="1"/>
  <c r="N105" i="6"/>
  <c r="P104" i="6"/>
  <c r="N104" i="6"/>
  <c r="P103" i="6"/>
  <c r="N103" i="6"/>
  <c r="M103" i="6"/>
  <c r="P102" i="6"/>
  <c r="Q102" i="6" s="1"/>
  <c r="N102" i="6"/>
  <c r="P101" i="6"/>
  <c r="P100" i="6"/>
  <c r="R100" i="6" s="1"/>
  <c r="P99" i="6"/>
  <c r="R99" i="6" s="1"/>
  <c r="N99" i="6"/>
  <c r="P98" i="6"/>
  <c r="N98" i="6"/>
  <c r="P97" i="6"/>
  <c r="N97" i="6"/>
  <c r="P96" i="6"/>
  <c r="N96" i="6"/>
  <c r="P95" i="6"/>
  <c r="N95" i="6"/>
  <c r="M95" i="6"/>
  <c r="P94" i="6"/>
  <c r="Q94" i="6" s="1"/>
  <c r="N94" i="6"/>
  <c r="M94" i="6"/>
  <c r="P93" i="6"/>
  <c r="R93" i="6" s="1"/>
  <c r="N93" i="6"/>
  <c r="P92" i="6"/>
  <c r="N92" i="6"/>
  <c r="P91" i="6"/>
  <c r="N91" i="6"/>
  <c r="P90" i="6"/>
  <c r="N90" i="6"/>
  <c r="M90" i="6"/>
  <c r="P89" i="6"/>
  <c r="N89" i="6"/>
  <c r="M89" i="6"/>
  <c r="P88" i="6"/>
  <c r="P87" i="6"/>
  <c r="R87" i="6" s="1"/>
  <c r="M87" i="6"/>
  <c r="P86" i="6"/>
  <c r="P85" i="6"/>
  <c r="R85" i="6" s="1"/>
  <c r="P84" i="6"/>
  <c r="R84" i="6" s="1"/>
  <c r="P83" i="6"/>
  <c r="N83" i="6"/>
  <c r="P82" i="6"/>
  <c r="P81" i="6"/>
  <c r="P80" i="6"/>
  <c r="P79" i="6"/>
  <c r="N79" i="6"/>
  <c r="P78" i="6"/>
  <c r="N78" i="6"/>
  <c r="P77" i="6"/>
  <c r="N77" i="6"/>
  <c r="M77" i="6"/>
  <c r="P76" i="6"/>
  <c r="N76" i="6"/>
  <c r="M76" i="6"/>
  <c r="P75" i="6"/>
  <c r="Q75" i="6" s="1"/>
  <c r="P74" i="6"/>
  <c r="N74" i="6"/>
  <c r="P73" i="6"/>
  <c r="M73" i="6"/>
  <c r="P72" i="6"/>
  <c r="P71" i="6"/>
  <c r="R71" i="6" s="1"/>
  <c r="P70" i="6"/>
  <c r="P69" i="6"/>
  <c r="R69" i="6" s="1"/>
  <c r="P68" i="6"/>
  <c r="Q68" i="6" s="1"/>
  <c r="N68" i="6"/>
  <c r="P67" i="6"/>
  <c r="P66" i="6"/>
  <c r="N66" i="6"/>
  <c r="P65" i="6"/>
  <c r="N65" i="6"/>
  <c r="P64" i="6"/>
  <c r="M64" i="6"/>
  <c r="N64" i="6"/>
  <c r="P63" i="6"/>
  <c r="Q63" i="6" s="1"/>
  <c r="M63" i="6"/>
  <c r="N63" i="6"/>
  <c r="P62" i="6"/>
  <c r="Q62" i="6" s="1"/>
  <c r="N62" i="6"/>
  <c r="M62" i="6"/>
  <c r="P61" i="6"/>
  <c r="R61" i="6" s="1"/>
  <c r="N61" i="6"/>
  <c r="P60" i="6"/>
  <c r="P59" i="6"/>
  <c r="R59" i="6" s="1"/>
  <c r="N59" i="6"/>
  <c r="P58" i="6"/>
  <c r="N58" i="6"/>
  <c r="P57" i="6"/>
  <c r="N57" i="6"/>
  <c r="P56" i="6"/>
  <c r="Q56" i="6" s="1"/>
  <c r="N56" i="6"/>
  <c r="P55" i="6"/>
  <c r="N55" i="6"/>
  <c r="P54" i="6"/>
  <c r="M54" i="6"/>
  <c r="N54" i="6"/>
  <c r="P53" i="6"/>
  <c r="N53" i="6"/>
  <c r="P52" i="6"/>
  <c r="Q52" i="6" s="1"/>
  <c r="N52" i="6"/>
  <c r="P51" i="6"/>
  <c r="R51" i="6" s="1"/>
  <c r="N51" i="6"/>
  <c r="P50" i="6"/>
  <c r="P49" i="6"/>
  <c r="P48" i="6"/>
  <c r="Q48" i="6" s="1"/>
  <c r="P47" i="6"/>
  <c r="N47" i="6"/>
  <c r="P46" i="6"/>
  <c r="N46" i="6"/>
  <c r="M46" i="6"/>
  <c r="P45" i="6"/>
  <c r="N45" i="6"/>
  <c r="M45" i="6"/>
  <c r="P44" i="6"/>
  <c r="Q44" i="6" s="1"/>
  <c r="N44" i="6"/>
  <c r="P43" i="6"/>
  <c r="R43" i="6" s="1"/>
  <c r="N43" i="6"/>
  <c r="P42" i="6"/>
  <c r="N42" i="6"/>
  <c r="P41" i="6"/>
  <c r="N41" i="6"/>
  <c r="P40" i="6"/>
  <c r="Q40" i="6" s="1"/>
  <c r="N40" i="6"/>
  <c r="P39" i="6"/>
  <c r="R39" i="6" s="1"/>
  <c r="N39" i="6"/>
  <c r="P38" i="6"/>
  <c r="N38" i="6"/>
  <c r="P37" i="6"/>
  <c r="N37" i="6"/>
  <c r="P36" i="6"/>
  <c r="Q36" i="6" s="1"/>
  <c r="P35" i="6"/>
  <c r="R35" i="6" s="1"/>
  <c r="N35" i="6"/>
  <c r="P34" i="6"/>
  <c r="R34" i="6" s="1"/>
  <c r="P33" i="6"/>
  <c r="Q33" i="6" s="1"/>
  <c r="P32" i="6"/>
  <c r="P31" i="6"/>
  <c r="R31" i="6" s="1"/>
  <c r="P30" i="6"/>
  <c r="Q30" i="6" s="1"/>
  <c r="N30" i="6"/>
  <c r="P29" i="6"/>
  <c r="N29" i="6"/>
  <c r="M29" i="6"/>
  <c r="P28" i="6"/>
  <c r="N28" i="6"/>
  <c r="M28" i="6"/>
  <c r="P27" i="6"/>
  <c r="R27" i="6" s="1"/>
  <c r="N27" i="6"/>
  <c r="M27" i="6"/>
  <c r="P26" i="6"/>
  <c r="R26" i="6" s="1"/>
  <c r="M26" i="6"/>
  <c r="N26" i="6"/>
  <c r="P25" i="6"/>
  <c r="Q25" i="6" s="1"/>
  <c r="N25" i="6"/>
  <c r="M25" i="6"/>
  <c r="P24" i="6"/>
  <c r="R24" i="6" s="1"/>
  <c r="P23" i="6"/>
  <c r="R23" i="6" s="1"/>
  <c r="N23" i="6"/>
  <c r="P22" i="6"/>
  <c r="R22" i="6" s="1"/>
  <c r="P21" i="6"/>
  <c r="Q21" i="6" s="1"/>
  <c r="P20" i="6"/>
  <c r="R20" i="6" s="1"/>
  <c r="O275" i="2" l="1"/>
  <c r="N162" i="6"/>
  <c r="O289" i="2"/>
  <c r="O234" i="2"/>
  <c r="N138" i="6"/>
  <c r="O288" i="2"/>
  <c r="N126" i="6"/>
  <c r="O126" i="6" s="1"/>
  <c r="O285" i="2"/>
  <c r="O145" i="2"/>
  <c r="N144" i="6"/>
  <c r="N132" i="6"/>
  <c r="M210" i="6"/>
  <c r="I76" i="6"/>
  <c r="J76" i="6" s="1"/>
  <c r="I53" i="6" s="1"/>
  <c r="J53" i="6" s="1"/>
  <c r="I155" i="6"/>
  <c r="J155" i="6" s="1"/>
  <c r="I205" i="6" s="1"/>
  <c r="J205" i="6" s="1"/>
  <c r="O235" i="6"/>
  <c r="M126" i="6"/>
  <c r="M18" i="6"/>
  <c r="O223" i="6"/>
  <c r="N224" i="6"/>
  <c r="O231" i="6"/>
  <c r="Q229" i="6"/>
  <c r="M85" i="6"/>
  <c r="O233" i="6"/>
  <c r="I125" i="6"/>
  <c r="J125" i="6" s="1"/>
  <c r="I168" i="6" s="1"/>
  <c r="J168" i="6" s="1"/>
  <c r="J234" i="6"/>
  <c r="M234" i="6" s="1"/>
  <c r="O234" i="6" s="1"/>
  <c r="O199" i="2"/>
  <c r="O140" i="2"/>
  <c r="O224" i="6"/>
  <c r="O128" i="2"/>
  <c r="O94" i="2"/>
  <c r="O31" i="2"/>
  <c r="O83" i="2"/>
  <c r="O92" i="2"/>
  <c r="O294" i="2"/>
  <c r="O93" i="2"/>
  <c r="O281" i="2"/>
  <c r="O280" i="2"/>
  <c r="O25" i="2"/>
  <c r="O19" i="6"/>
  <c r="O220" i="2"/>
  <c r="O78" i="2"/>
  <c r="O24" i="2"/>
  <c r="O135" i="2"/>
  <c r="O149" i="2"/>
  <c r="N209" i="6"/>
  <c r="M209" i="6"/>
  <c r="N197" i="6"/>
  <c r="O197" i="6" s="1"/>
  <c r="N203" i="6"/>
  <c r="O18" i="6"/>
  <c r="N221" i="6"/>
  <c r="N81" i="6"/>
  <c r="N191" i="6"/>
  <c r="N147" i="6"/>
  <c r="N185" i="6"/>
  <c r="O185" i="6" s="1"/>
  <c r="M193" i="6"/>
  <c r="M117" i="6"/>
  <c r="M152" i="6"/>
  <c r="O152" i="6" s="1"/>
  <c r="M91" i="6"/>
  <c r="M130" i="6"/>
  <c r="O130" i="6" s="1"/>
  <c r="M151" i="6"/>
  <c r="O151" i="6" s="1"/>
  <c r="M150" i="6"/>
  <c r="R150" i="6"/>
  <c r="O210" i="6"/>
  <c r="Q93" i="6"/>
  <c r="O129" i="6"/>
  <c r="O63" i="6"/>
  <c r="O155" i="6"/>
  <c r="O22" i="6"/>
  <c r="O87" i="6"/>
  <c r="Q203" i="6"/>
  <c r="Q135" i="6"/>
  <c r="R183" i="6"/>
  <c r="Q209" i="6"/>
  <c r="O116" i="6"/>
  <c r="Q174" i="6"/>
  <c r="Q51" i="6"/>
  <c r="Q179" i="6"/>
  <c r="R56" i="6"/>
  <c r="R30" i="6"/>
  <c r="L23" i="2"/>
  <c r="O216" i="6"/>
  <c r="O161" i="6"/>
  <c r="O174" i="6"/>
  <c r="R40" i="6"/>
  <c r="Q109" i="6"/>
  <c r="O186" i="6"/>
  <c r="R36" i="6"/>
  <c r="O59" i="6"/>
  <c r="R75" i="6"/>
  <c r="O94" i="6"/>
  <c r="Q105" i="6"/>
  <c r="O156" i="6"/>
  <c r="Q195" i="6"/>
  <c r="Q34" i="6"/>
  <c r="R52" i="6"/>
  <c r="O76" i="6"/>
  <c r="R94" i="6"/>
  <c r="Q121" i="6"/>
  <c r="Q171" i="6"/>
  <c r="O198" i="6"/>
  <c r="Q85" i="6"/>
  <c r="O88" i="6"/>
  <c r="Q185" i="6"/>
  <c r="O196" i="6"/>
  <c r="O195" i="6"/>
  <c r="O86" i="6"/>
  <c r="O28" i="6"/>
  <c r="R48" i="6"/>
  <c r="O70" i="6"/>
  <c r="Q71" i="6"/>
  <c r="Q111" i="6"/>
  <c r="O154" i="6"/>
  <c r="O202" i="6"/>
  <c r="Q39" i="6"/>
  <c r="O110" i="6"/>
  <c r="O112" i="6"/>
  <c r="Q26" i="6"/>
  <c r="Q35" i="6"/>
  <c r="Q24" i="6"/>
  <c r="R68" i="6"/>
  <c r="O125" i="6"/>
  <c r="Q165" i="6"/>
  <c r="R200" i="6"/>
  <c r="O213" i="6"/>
  <c r="Q219" i="6"/>
  <c r="Q59" i="6"/>
  <c r="Q87" i="6"/>
  <c r="Q100" i="6"/>
  <c r="R102" i="6"/>
  <c r="R132" i="6"/>
  <c r="O135" i="6"/>
  <c r="Q159" i="6"/>
  <c r="O180" i="6"/>
  <c r="O189" i="6"/>
  <c r="Q207" i="6"/>
  <c r="Q213" i="6"/>
  <c r="O220" i="6"/>
  <c r="O222" i="6"/>
  <c r="Q20" i="6"/>
  <c r="Q22" i="6"/>
  <c r="Q114" i="6"/>
  <c r="Q141" i="6"/>
  <c r="Q108" i="6"/>
  <c r="Q133" i="6"/>
  <c r="R21" i="6"/>
  <c r="Q84" i="6"/>
  <c r="Q115" i="6"/>
  <c r="Q117" i="6"/>
  <c r="Q140" i="6"/>
  <c r="Q23" i="6"/>
  <c r="R25" i="6"/>
  <c r="Q27" i="6"/>
  <c r="R63" i="6"/>
  <c r="R128" i="6"/>
  <c r="O219" i="6"/>
  <c r="O214" i="6"/>
  <c r="O208" i="6"/>
  <c r="O207" i="6"/>
  <c r="O201" i="6"/>
  <c r="O178" i="6"/>
  <c r="O165" i="6"/>
  <c r="O166" i="6"/>
  <c r="O160" i="6"/>
  <c r="O159" i="6"/>
  <c r="O148" i="6"/>
  <c r="O136" i="6"/>
  <c r="O123" i="6"/>
  <c r="O122" i="6"/>
  <c r="O109" i="6"/>
  <c r="O103" i="6"/>
  <c r="O85" i="6"/>
  <c r="O77" i="6"/>
  <c r="O69" i="6"/>
  <c r="O37" i="6"/>
  <c r="O29" i="6"/>
  <c r="L20" i="6"/>
  <c r="Q43" i="6"/>
  <c r="O46" i="6"/>
  <c r="Q61" i="6"/>
  <c r="R146" i="6"/>
  <c r="Q146" i="6"/>
  <c r="R88" i="6"/>
  <c r="Q88" i="6"/>
  <c r="R127" i="6"/>
  <c r="Q127" i="6"/>
  <c r="Q31" i="6"/>
  <c r="R33" i="6"/>
  <c r="R194" i="6"/>
  <c r="Q194" i="6"/>
  <c r="R162" i="6"/>
  <c r="Q162" i="6"/>
  <c r="R81" i="6"/>
  <c r="Q81" i="6"/>
  <c r="R44" i="6"/>
  <c r="R62" i="6"/>
  <c r="Q69" i="6"/>
  <c r="R72" i="6"/>
  <c r="Q72" i="6"/>
  <c r="Q99" i="6"/>
  <c r="Q120" i="6"/>
  <c r="Q153" i="6"/>
  <c r="Q173" i="6"/>
  <c r="Q177" i="6"/>
  <c r="Q197" i="6"/>
  <c r="R201" i="6"/>
  <c r="R212" i="6"/>
  <c r="R218" i="6"/>
  <c r="Q206" i="6"/>
  <c r="Q215" i="6"/>
  <c r="Q122" i="6"/>
  <c r="Q134" i="6"/>
  <c r="Q145" i="6"/>
  <c r="Q156" i="6"/>
  <c r="Q188" i="6"/>
  <c r="R221" i="6"/>
  <c r="O217" i="6"/>
  <c r="O211" i="6"/>
  <c r="O199" i="6"/>
  <c r="O60" i="6"/>
  <c r="O187" i="6"/>
  <c r="O181" i="6"/>
  <c r="O175" i="6"/>
  <c r="O157" i="6"/>
  <c r="O113" i="6"/>
  <c r="O95" i="6"/>
  <c r="O89" i="6"/>
  <c r="O73" i="6"/>
  <c r="O41" i="6"/>
  <c r="O64" i="6"/>
  <c r="O26" i="6"/>
  <c r="O120" i="6"/>
  <c r="O118" i="6"/>
  <c r="O119" i="6"/>
  <c r="O117" i="6"/>
  <c r="O27" i="6"/>
  <c r="O90" i="6"/>
  <c r="O25" i="6"/>
  <c r="O23" i="6"/>
  <c r="O24" i="6"/>
  <c r="O121" i="6"/>
  <c r="O131" i="6"/>
  <c r="O45" i="6"/>
  <c r="O134" i="6"/>
  <c r="O108" i="6"/>
  <c r="O36" i="6"/>
  <c r="O194" i="6"/>
  <c r="O212" i="6"/>
  <c r="O21" i="6"/>
  <c r="O182" i="6"/>
  <c r="O54" i="6"/>
  <c r="O115" i="6"/>
  <c r="O128" i="6"/>
  <c r="O200" i="6"/>
  <c r="O176" i="6"/>
  <c r="O188" i="6"/>
  <c r="O62" i="6"/>
  <c r="O209" i="6" l="1"/>
  <c r="O193" i="6"/>
  <c r="O91" i="6"/>
  <c r="M183" i="6"/>
  <c r="O150" i="6"/>
  <c r="L21" i="6"/>
  <c r="L22" i="6" s="1"/>
  <c r="L23" i="6" s="1"/>
  <c r="L24" i="6" s="1"/>
  <c r="L25" i="6" s="1"/>
  <c r="L26" i="6" s="1"/>
  <c r="L27" i="6" s="1"/>
  <c r="L28" i="6" s="1"/>
  <c r="L24" i="2"/>
  <c r="Q101" i="6"/>
  <c r="Q89" i="6"/>
  <c r="Q126" i="6"/>
  <c r="Q60" i="6"/>
  <c r="Q41" i="6"/>
  <c r="Q175" i="6"/>
  <c r="Q73" i="6"/>
  <c r="Q50" i="6"/>
  <c r="Q151" i="6"/>
  <c r="Q32" i="6"/>
  <c r="Q163" i="6"/>
  <c r="R163" i="6"/>
  <c r="R175" i="6"/>
  <c r="R101" i="6"/>
  <c r="R151" i="6"/>
  <c r="R89" i="6"/>
  <c r="O183" i="6" l="1"/>
  <c r="L29" i="6"/>
  <c r="L25" i="2"/>
  <c r="L26" i="2" s="1"/>
  <c r="L27" i="2" s="1"/>
  <c r="L30" i="6" l="1"/>
  <c r="L31" i="6" s="1"/>
  <c r="L32" i="6" s="1"/>
  <c r="L33" i="6" s="1"/>
  <c r="L34" i="6" s="1"/>
  <c r="L35" i="6" s="1"/>
  <c r="L36" i="6" s="1"/>
  <c r="L37" i="6" s="1"/>
  <c r="L38" i="6" s="1"/>
  <c r="L28" i="2"/>
  <c r="L29" i="2" s="1"/>
  <c r="L30" i="2" s="1"/>
  <c r="L39" i="6" l="1"/>
  <c r="L40" i="6" s="1"/>
  <c r="L41" i="6" s="1"/>
  <c r="L42" i="6" s="1"/>
  <c r="L31" i="2"/>
  <c r="L32" i="2" s="1"/>
  <c r="L33" i="2" s="1"/>
  <c r="L34" i="2" s="1"/>
  <c r="L35" i="2" s="1"/>
  <c r="L36" i="2" s="1"/>
  <c r="L37" i="2" s="1"/>
  <c r="L43" i="6" l="1"/>
  <c r="L44" i="6" s="1"/>
  <c r="L45" i="6" s="1"/>
  <c r="L46" i="6" s="1"/>
  <c r="L47" i="6" s="1"/>
  <c r="L48" i="6" s="1"/>
  <c r="L49" i="6" s="1"/>
  <c r="L38" i="2"/>
  <c r="L39" i="2" s="1"/>
  <c r="L40" i="2" s="1"/>
  <c r="L41" i="2" s="1"/>
  <c r="L42" i="2" s="1"/>
  <c r="L43" i="2" s="1"/>
  <c r="L50" i="6" l="1"/>
  <c r="L51" i="6" s="1"/>
  <c r="L52" i="6"/>
  <c r="L44" i="2"/>
  <c r="L53" i="6" l="1"/>
  <c r="L45" i="2"/>
  <c r="L54" i="6" l="1"/>
  <c r="L46" i="2"/>
  <c r="L55" i="6" l="1"/>
  <c r="L56" i="6" s="1"/>
  <c r="L57" i="6" s="1"/>
  <c r="L58" i="6" s="1"/>
  <c r="L47" i="2"/>
  <c r="L59" i="6" l="1"/>
  <c r="L60" i="6" s="1"/>
  <c r="L48" i="2"/>
  <c r="L61" i="6" l="1"/>
  <c r="L62" i="6" s="1"/>
  <c r="L63" i="6" s="1"/>
  <c r="L64" i="6" s="1"/>
  <c r="L49" i="2"/>
  <c r="L65" i="6" l="1"/>
  <c r="L50" i="2"/>
  <c r="L66" i="6" l="1"/>
  <c r="L51" i="2"/>
  <c r="L67" i="6" l="1"/>
  <c r="L52" i="2"/>
  <c r="L53" i="2" s="1"/>
  <c r="L54" i="2" s="1"/>
  <c r="L55" i="2" s="1"/>
  <c r="L68" i="6" l="1"/>
  <c r="L69" i="6" s="1"/>
  <c r="L70" i="6" s="1"/>
  <c r="L71" i="6" s="1"/>
  <c r="L72" i="6" s="1"/>
  <c r="L73" i="6" s="1"/>
  <c r="L74" i="6" s="1"/>
  <c r="L75" i="6" s="1"/>
  <c r="L76" i="6" s="1"/>
  <c r="L56" i="2"/>
  <c r="L57" i="2" s="1"/>
  <c r="L58" i="2" s="1"/>
  <c r="L59" i="2" s="1"/>
  <c r="L60" i="2" s="1"/>
  <c r="L61" i="2" l="1"/>
  <c r="L62" i="2" s="1"/>
  <c r="L63" i="2" s="1"/>
  <c r="L64" i="2" s="1"/>
  <c r="L65" i="2" s="1"/>
  <c r="L66" i="2" s="1"/>
  <c r="L67" i="2" s="1"/>
  <c r="L68" i="2" s="1"/>
  <c r="L69" i="2" s="1"/>
  <c r="L70" i="2" s="1"/>
  <c r="L77" i="6"/>
  <c r="L78" i="6" s="1"/>
  <c r="L79" i="6" s="1"/>
  <c r="L80" i="6" s="1"/>
  <c r="L71" i="2" l="1"/>
  <c r="L72" i="2" s="1"/>
  <c r="L73" i="2" s="1"/>
  <c r="L74" i="2" s="1"/>
  <c r="L75" i="2" s="1"/>
  <c r="L76" i="2" s="1"/>
  <c r="L77" i="2" s="1"/>
  <c r="L78" i="2" s="1"/>
  <c r="L79" i="2" s="1"/>
  <c r="L81" i="6"/>
  <c r="L80" i="2" l="1"/>
  <c r="L81" i="2" s="1"/>
  <c r="L82" i="2" s="1"/>
  <c r="L82" i="6"/>
  <c r="L83" i="2" l="1"/>
  <c r="L84" i="2" s="1"/>
  <c r="L85" i="2" s="1"/>
  <c r="L86" i="2" s="1"/>
  <c r="L87" i="2" s="1"/>
  <c r="L88" i="2" s="1"/>
  <c r="L89" i="2" s="1"/>
  <c r="L83" i="6"/>
  <c r="L90" i="2" l="1"/>
  <c r="L91" i="2" s="1"/>
  <c r="L92" i="2" s="1"/>
  <c r="L93" i="2" s="1"/>
  <c r="L94" i="2" s="1"/>
  <c r="L95" i="2" s="1"/>
  <c r="L84" i="6"/>
  <c r="L85" i="6" s="1"/>
  <c r="L86" i="6" s="1"/>
  <c r="L87" i="6" s="1"/>
  <c r="L88" i="6" s="1"/>
  <c r="L89" i="6" s="1"/>
  <c r="L90" i="6" s="1"/>
  <c r="L91" i="6" s="1"/>
  <c r="L92" i="6" l="1"/>
  <c r="L93" i="6" s="1"/>
  <c r="L94" i="6" s="1"/>
  <c r="L95" i="6" s="1"/>
  <c r="L96" i="2"/>
  <c r="L97" i="2" s="1"/>
  <c r="L98" i="2" s="1"/>
  <c r="L99" i="2" s="1"/>
  <c r="L100" i="2" s="1"/>
  <c r="L101" i="2" s="1"/>
  <c r="L102" i="2" s="1"/>
  <c r="L103" i="2" s="1"/>
  <c r="L96" i="6" l="1"/>
  <c r="L97" i="6" s="1"/>
  <c r="L98" i="6" s="1"/>
  <c r="L99" i="6" s="1"/>
  <c r="L100" i="6" s="1"/>
  <c r="L101" i="6" s="1"/>
  <c r="L102" i="6" s="1"/>
  <c r="L103" i="6" s="1"/>
  <c r="L104" i="2"/>
  <c r="L104" i="6" l="1"/>
  <c r="L105" i="2"/>
  <c r="L105" i="6" l="1"/>
  <c r="L106" i="2"/>
  <c r="L106" i="6" l="1"/>
  <c r="L107" i="2"/>
  <c r="L107" i="6" l="1"/>
  <c r="L108" i="6" s="1"/>
  <c r="L109" i="6" s="1"/>
  <c r="L108" i="2"/>
  <c r="L110" i="6" l="1"/>
  <c r="L109" i="2"/>
  <c r="L110" i="2" s="1"/>
  <c r="L111" i="6" l="1"/>
  <c r="L111" i="2"/>
  <c r="L112" i="2" l="1"/>
  <c r="L113" i="2" s="1"/>
  <c r="L114" i="2" s="1"/>
  <c r="L115" i="2" s="1"/>
  <c r="L116" i="2" s="1"/>
  <c r="L112" i="6"/>
  <c r="L113" i="6" l="1"/>
  <c r="L117" i="2"/>
  <c r="L114" i="6" l="1"/>
  <c r="L118" i="2"/>
  <c r="L115" i="6" l="1"/>
  <c r="L119" i="2"/>
  <c r="L116" i="6" l="1"/>
  <c r="L120" i="2"/>
  <c r="L117" i="6" l="1"/>
  <c r="Q16" i="6"/>
  <c r="L121" i="2"/>
  <c r="L118" i="6" l="1"/>
  <c r="L122" i="2"/>
  <c r="L119" i="6" l="1"/>
  <c r="L123" i="2"/>
  <c r="L120" i="6" l="1"/>
  <c r="L124" i="2"/>
  <c r="L121" i="6" l="1"/>
  <c r="L125" i="2"/>
  <c r="L122" i="6" l="1"/>
  <c r="L126" i="2"/>
  <c r="L123" i="6" l="1"/>
  <c r="L127" i="2"/>
  <c r="L124" i="6" l="1"/>
  <c r="L125" i="6" s="1"/>
  <c r="L128" i="2"/>
  <c r="L126" i="6" l="1"/>
  <c r="L129" i="2"/>
  <c r="L127" i="6" l="1"/>
  <c r="L130" i="2"/>
  <c r="L128" i="6" l="1"/>
  <c r="Q28" i="6" s="1"/>
  <c r="L131" i="2"/>
  <c r="L129" i="6" l="1"/>
  <c r="Q29" i="6"/>
  <c r="L132" i="2"/>
  <c r="L130" i="6" l="1"/>
  <c r="L133" i="2"/>
  <c r="L131" i="6" l="1"/>
  <c r="L134" i="2"/>
  <c r="R34" i="2"/>
  <c r="Q34" i="2"/>
  <c r="L132" i="6" l="1"/>
  <c r="L133" i="6" s="1"/>
  <c r="L135" i="2"/>
  <c r="L134" i="6" l="1"/>
  <c r="L136" i="2"/>
  <c r="L135" i="6" l="1"/>
  <c r="L137" i="2"/>
  <c r="Q37" i="2" l="1"/>
  <c r="L136" i="6"/>
  <c r="L137" i="6" s="1"/>
  <c r="L138" i="2"/>
  <c r="L138" i="6" l="1"/>
  <c r="Q37" i="6"/>
  <c r="Q47" i="6"/>
  <c r="L139" i="2"/>
  <c r="Q38" i="6" l="1"/>
  <c r="L139" i="6"/>
  <c r="L140" i="2"/>
  <c r="L140" i="6" l="1"/>
  <c r="L141" i="2"/>
  <c r="L141" i="6" l="1"/>
  <c r="L142" i="6" s="1"/>
  <c r="L142" i="2"/>
  <c r="R41" i="2"/>
  <c r="Q41" i="2"/>
  <c r="L143" i="6" l="1"/>
  <c r="L144" i="6" s="1"/>
  <c r="L145" i="6" s="1"/>
  <c r="Q42" i="6"/>
  <c r="Q46" i="6"/>
  <c r="L143" i="2"/>
  <c r="Q45" i="6" l="1"/>
  <c r="L146" i="6"/>
  <c r="L147" i="6" s="1"/>
  <c r="L148" i="6"/>
  <c r="L144" i="2"/>
  <c r="L149" i="6" l="1"/>
  <c r="L145" i="2"/>
  <c r="L150" i="6" l="1"/>
  <c r="L151" i="6" s="1"/>
  <c r="L152" i="6" s="1"/>
  <c r="L153" i="6" s="1"/>
  <c r="Q53" i="6" s="1"/>
  <c r="Q49" i="6"/>
  <c r="L146" i="2"/>
  <c r="L154" i="6" l="1"/>
  <c r="L147" i="2"/>
  <c r="Q54" i="6" l="1"/>
  <c r="L155" i="6"/>
  <c r="L148" i="2"/>
  <c r="Q55" i="6" l="1"/>
  <c r="L156" i="6"/>
  <c r="L157" i="6" s="1"/>
  <c r="L158" i="6" s="1"/>
  <c r="Q58" i="6" s="1"/>
  <c r="Q57" i="6"/>
  <c r="L149" i="2"/>
  <c r="L159" i="6" l="1"/>
  <c r="L150" i="2"/>
  <c r="L160" i="6" l="1"/>
  <c r="L151" i="2"/>
  <c r="L161" i="6" l="1"/>
  <c r="L152" i="2"/>
  <c r="L162" i="6" l="1"/>
  <c r="L153" i="2"/>
  <c r="L163" i="6" l="1"/>
  <c r="L154" i="2"/>
  <c r="L164" i="6" l="1"/>
  <c r="L155" i="2"/>
  <c r="Q64" i="6" l="1"/>
  <c r="L165" i="6"/>
  <c r="Q65" i="6" s="1"/>
  <c r="L156" i="2"/>
  <c r="L166" i="6" l="1"/>
  <c r="Q66" i="6" s="1"/>
  <c r="L157" i="2"/>
  <c r="L167" i="6" l="1"/>
  <c r="L158" i="2"/>
  <c r="L159" i="2" s="1"/>
  <c r="L160" i="2" s="1"/>
  <c r="L161" i="2" s="1"/>
  <c r="L162" i="2" s="1"/>
  <c r="Q67" i="6" l="1"/>
  <c r="L163" i="2"/>
  <c r="L168" i="6"/>
  <c r="L164" i="2" l="1"/>
  <c r="L165" i="2" s="1"/>
  <c r="L166" i="2" s="1"/>
  <c r="L167" i="2" s="1"/>
  <c r="L168" i="2" s="1"/>
  <c r="L169" i="2" s="1"/>
  <c r="L169" i="6"/>
  <c r="L170" i="2" l="1"/>
  <c r="L171" i="2" s="1"/>
  <c r="L172" i="2" s="1"/>
  <c r="L173" i="2" s="1"/>
  <c r="L170" i="6"/>
  <c r="L174" i="2" l="1"/>
  <c r="L175" i="2" s="1"/>
  <c r="L176" i="2" s="1"/>
  <c r="L177" i="2" s="1"/>
  <c r="L178" i="2" s="1"/>
  <c r="L179" i="2" s="1"/>
  <c r="L180" i="2" s="1"/>
  <c r="L181" i="2" s="1"/>
  <c r="L171" i="6"/>
  <c r="Q70" i="6"/>
  <c r="L182" i="2" l="1"/>
  <c r="L183" i="2" s="1"/>
  <c r="L184" i="2" s="1"/>
  <c r="L185" i="2" s="1"/>
  <c r="L186" i="2" s="1"/>
  <c r="L187" i="2" s="1"/>
  <c r="L188" i="2" s="1"/>
  <c r="L189" i="2" s="1"/>
  <c r="L172" i="6"/>
  <c r="R112" i="2"/>
  <c r="Q112" i="2"/>
  <c r="L190" i="2" l="1"/>
  <c r="L191" i="2" s="1"/>
  <c r="L192" i="2" s="1"/>
  <c r="L193" i="2" s="1"/>
  <c r="Q91" i="2"/>
  <c r="R91" i="2"/>
  <c r="L173" i="6"/>
  <c r="L194" i="2" l="1"/>
  <c r="L195" i="2" s="1"/>
  <c r="L196" i="2" s="1"/>
  <c r="L197" i="2" s="1"/>
  <c r="L198" i="2" s="1"/>
  <c r="L199" i="2" s="1"/>
  <c r="L200" i="2" s="1"/>
  <c r="L174" i="6"/>
  <c r="Q74" i="6" s="1"/>
  <c r="L201" i="2" l="1"/>
  <c r="L202" i="2" s="1"/>
  <c r="L175" i="6"/>
  <c r="L203" i="2" l="1"/>
  <c r="L204" i="2" s="1"/>
  <c r="L205" i="2" s="1"/>
  <c r="L206" i="2" s="1"/>
  <c r="L207" i="2" s="1"/>
  <c r="L208" i="2" s="1"/>
  <c r="L209" i="2" s="1"/>
  <c r="L210" i="2" s="1"/>
  <c r="L211" i="2" s="1"/>
  <c r="L176" i="6"/>
  <c r="Q76" i="6" s="1"/>
  <c r="L212" i="2" l="1"/>
  <c r="L213" i="2"/>
  <c r="L214" i="2" s="1"/>
  <c r="L215" i="2" s="1"/>
  <c r="L177" i="6"/>
  <c r="Q117" i="2"/>
  <c r="R117" i="2"/>
  <c r="L216" i="2" l="1"/>
  <c r="L217" i="2" s="1"/>
  <c r="L178" i="6"/>
  <c r="Q77" i="6"/>
  <c r="Q78" i="6" l="1"/>
  <c r="L218" i="2"/>
  <c r="L179" i="6"/>
  <c r="Q79" i="6" s="1"/>
  <c r="R119" i="2"/>
  <c r="Q119" i="2"/>
  <c r="L219" i="2" l="1"/>
  <c r="L180" i="6"/>
  <c r="Q80" i="6" l="1"/>
  <c r="L220" i="2"/>
  <c r="L181" i="6"/>
  <c r="L221" i="2" l="1"/>
  <c r="L222" i="2" s="1"/>
  <c r="L182" i="6"/>
  <c r="Q124" i="2"/>
  <c r="R124" i="2"/>
  <c r="Q126" i="2"/>
  <c r="R126" i="2"/>
  <c r="L223" i="2" l="1"/>
  <c r="L224" i="2" s="1"/>
  <c r="Q123" i="2"/>
  <c r="R123" i="2"/>
  <c r="Q82" i="6"/>
  <c r="L183" i="6"/>
  <c r="R133" i="2"/>
  <c r="Q133" i="2"/>
  <c r="Q83" i="6" l="1"/>
  <c r="L225" i="2"/>
  <c r="L226" i="2" s="1"/>
  <c r="L227" i="2" s="1"/>
  <c r="L184" i="6"/>
  <c r="R131" i="2"/>
  <c r="Q131" i="2"/>
  <c r="L228" i="2" l="1"/>
  <c r="Q127" i="2"/>
  <c r="R127" i="2"/>
  <c r="L185" i="6"/>
  <c r="L229" i="2" l="1"/>
  <c r="L230" i="2" s="1"/>
  <c r="L231" i="2" s="1"/>
  <c r="L232" i="2" s="1"/>
  <c r="L233" i="2" s="1"/>
  <c r="L234" i="2" s="1"/>
  <c r="L186" i="6"/>
  <c r="L235" i="2" l="1"/>
  <c r="L236" i="2" s="1"/>
  <c r="L237" i="2" s="1"/>
  <c r="Q134" i="2"/>
  <c r="R134" i="2"/>
  <c r="Q136" i="2"/>
  <c r="R136" i="2"/>
  <c r="L187" i="6"/>
  <c r="Q86" i="6"/>
  <c r="R86" i="6"/>
  <c r="R138" i="2"/>
  <c r="Q138" i="2"/>
  <c r="L238" i="2" l="1"/>
  <c r="L239" i="2" s="1"/>
  <c r="L240" i="2" s="1"/>
  <c r="L188" i="6"/>
  <c r="L189" i="6" l="1"/>
  <c r="L241" i="2"/>
  <c r="R140" i="2"/>
  <c r="Q140" i="2"/>
  <c r="Q141" i="2" l="1"/>
  <c r="R141" i="2"/>
  <c r="L242" i="2"/>
  <c r="L243" i="2" s="1"/>
  <c r="L190" i="6"/>
  <c r="Q90" i="6" l="1"/>
  <c r="L244" i="2"/>
  <c r="L245" i="2" s="1"/>
  <c r="L246" i="2" s="1"/>
  <c r="Q143" i="2"/>
  <c r="R143" i="2"/>
  <c r="L191" i="6"/>
  <c r="Q145" i="2"/>
  <c r="R145" i="2"/>
  <c r="Q91" i="6" l="1"/>
  <c r="L192" i="6"/>
  <c r="L247" i="2"/>
  <c r="L193" i="6" l="1"/>
  <c r="Q92" i="6"/>
  <c r="R92" i="6"/>
  <c r="L248" i="2"/>
  <c r="R147" i="2"/>
  <c r="Q147" i="2"/>
  <c r="Q148" i="2" l="1"/>
  <c r="R148" i="2"/>
  <c r="L194" i="6"/>
  <c r="L249" i="2"/>
  <c r="L250" i="2" l="1"/>
  <c r="Q150" i="2"/>
  <c r="R150" i="2"/>
  <c r="L195" i="6"/>
  <c r="Q95" i="6" s="1"/>
  <c r="L251" i="2" l="1"/>
  <c r="L252" i="2" s="1"/>
  <c r="L253" i="2" s="1"/>
  <c r="L254" i="2" s="1"/>
  <c r="L196" i="6"/>
  <c r="Q96" i="6" l="1"/>
  <c r="L197" i="6"/>
  <c r="L255" i="2"/>
  <c r="L256" i="2" s="1"/>
  <c r="L198" i="6" l="1"/>
  <c r="L199" i="6" s="1"/>
  <c r="Q97" i="6"/>
  <c r="Q98" i="6"/>
  <c r="L257" i="2"/>
  <c r="L200" i="6" l="1"/>
  <c r="L258" i="2"/>
  <c r="L201" i="6" l="1"/>
  <c r="L259" i="2"/>
  <c r="L260" i="2" s="1"/>
  <c r="L202" i="6" l="1"/>
  <c r="L203" i="6" s="1"/>
  <c r="L204" i="6" s="1"/>
  <c r="Q103" i="6"/>
  <c r="L261" i="2"/>
  <c r="L205" i="6" l="1"/>
  <c r="Q104" i="6"/>
  <c r="R104" i="6"/>
  <c r="L262" i="2"/>
  <c r="L263" i="2" l="1"/>
  <c r="L264" i="2" s="1"/>
  <c r="L206" i="6"/>
  <c r="Q106" i="6" s="1"/>
  <c r="L265" i="2" l="1"/>
  <c r="L266" i="2" s="1"/>
  <c r="L267" i="2" s="1"/>
  <c r="L207" i="6"/>
  <c r="Q107" i="6" s="1"/>
  <c r="L268" i="2" l="1"/>
  <c r="L269" i="2" s="1"/>
  <c r="L208" i="6"/>
  <c r="L270" i="2" l="1"/>
  <c r="L271" i="2" s="1"/>
  <c r="Q169" i="2"/>
  <c r="L209" i="6"/>
  <c r="L210" i="6" s="1"/>
  <c r="L272" i="2" l="1"/>
  <c r="L273" i="2" s="1"/>
  <c r="L274" i="2" s="1"/>
  <c r="L275" i="2" s="1"/>
  <c r="L211" i="6"/>
  <c r="Q110" i="6"/>
  <c r="L276" i="2" l="1"/>
  <c r="L277" i="2" s="1"/>
  <c r="L278" i="2" s="1"/>
  <c r="L279" i="2" s="1"/>
  <c r="L280" i="2" s="1"/>
  <c r="L281" i="2" s="1"/>
  <c r="L212" i="6"/>
  <c r="L282" i="2" l="1"/>
  <c r="L283" i="2" s="1"/>
  <c r="L213" i="6"/>
  <c r="Q112" i="6"/>
  <c r="L284" i="2" l="1"/>
  <c r="L285" i="2" s="1"/>
  <c r="L286" i="2" s="1"/>
  <c r="L287" i="2" s="1"/>
  <c r="L288" i="2" s="1"/>
  <c r="L289" i="2" s="1"/>
  <c r="L290" i="2" s="1"/>
  <c r="L291" i="2" s="1"/>
  <c r="L292" i="2" s="1"/>
  <c r="L293" i="2" s="1"/>
  <c r="L294" i="2" s="1"/>
  <c r="L295" i="2" s="1"/>
  <c r="L296" i="2" s="1"/>
  <c r="L297" i="2" s="1"/>
  <c r="L298" i="2" s="1"/>
  <c r="L299" i="2" s="1"/>
  <c r="L300" i="2" s="1"/>
  <c r="L301" i="2" s="1"/>
  <c r="L302" i="2" s="1"/>
  <c r="L303" i="2" s="1"/>
  <c r="L304" i="2" s="1"/>
  <c r="L305" i="2" s="1"/>
  <c r="L306" i="2" s="1"/>
  <c r="L214" i="6"/>
  <c r="Q113" i="6"/>
  <c r="M20" i="6"/>
  <c r="L215" i="6" l="1"/>
  <c r="R209" i="2"/>
  <c r="Q209" i="2"/>
  <c r="Q116" i="6"/>
  <c r="O20" i="6"/>
  <c r="L216" i="6" l="1"/>
  <c r="L217" i="6" s="1"/>
  <c r="L218" i="6" s="1"/>
  <c r="N88" i="2"/>
  <c r="M88" i="2"/>
  <c r="Q219" i="2" l="1"/>
  <c r="R219" i="2"/>
  <c r="Q118" i="6"/>
  <c r="R118" i="6"/>
  <c r="L219" i="6"/>
  <c r="O88" i="2"/>
  <c r="M61" i="6"/>
  <c r="Q119" i="6" l="1"/>
  <c r="R119" i="6"/>
  <c r="L220" i="6"/>
  <c r="O61" i="6"/>
  <c r="R60" i="6"/>
  <c r="L221" i="6" l="1"/>
  <c r="L222" i="6" s="1"/>
  <c r="L223" i="6" s="1"/>
  <c r="L224" i="6" s="1"/>
  <c r="L225" i="6" s="1"/>
  <c r="M74" i="6"/>
  <c r="Q123" i="6" l="1"/>
  <c r="O74" i="6"/>
  <c r="Q124" i="6" l="1"/>
  <c r="Q125" i="6"/>
  <c r="M82" i="6"/>
  <c r="O82" i="6" l="1"/>
  <c r="Q129" i="6" l="1"/>
  <c r="Q136" i="6" l="1"/>
  <c r="M114" i="6"/>
  <c r="I113" i="6" s="1"/>
  <c r="J113" i="6" s="1"/>
  <c r="I30" i="6" s="1"/>
  <c r="J30" i="6" s="1"/>
  <c r="O114" i="6" l="1"/>
  <c r="Q130" i="6" l="1"/>
  <c r="R113" i="6"/>
  <c r="Q142" i="6" l="1"/>
  <c r="M127" i="6"/>
  <c r="Q131" i="6" l="1"/>
  <c r="Q154" i="6"/>
  <c r="R154" i="6"/>
  <c r="O127" i="6"/>
  <c r="R125" i="6" s="1"/>
  <c r="M190" i="6" l="1"/>
  <c r="M146" i="6"/>
  <c r="O146" i="6" s="1"/>
  <c r="M107" i="6"/>
  <c r="I107" i="6" s="1"/>
  <c r="J107" i="6" s="1"/>
  <c r="I17" i="6" s="1"/>
  <c r="J17" i="6" s="1"/>
  <c r="M147" i="6"/>
  <c r="R126" i="6"/>
  <c r="M22" i="2"/>
  <c r="N22" i="2"/>
  <c r="N103" i="2"/>
  <c r="M103" i="2"/>
  <c r="O147" i="6" l="1"/>
  <c r="O107" i="6"/>
  <c r="Q144" i="6"/>
  <c r="O190" i="6"/>
  <c r="M144" i="6"/>
  <c r="M105" i="6"/>
  <c r="O105" i="6" s="1"/>
  <c r="O103" i="2"/>
  <c r="O22" i="2"/>
  <c r="Q87" i="2"/>
  <c r="Q138" i="6" l="1"/>
  <c r="O144" i="6"/>
  <c r="N99" i="2"/>
  <c r="M215" i="6"/>
  <c r="M205" i="6"/>
  <c r="M206" i="6"/>
  <c r="O206" i="6" s="1"/>
  <c r="R87" i="2"/>
  <c r="Q139" i="6" l="1"/>
  <c r="O205" i="6"/>
  <c r="M83" i="6"/>
  <c r="M75" i="6"/>
  <c r="R96" i="6"/>
  <c r="M76" i="2"/>
  <c r="N76" i="2"/>
  <c r="N67" i="2"/>
  <c r="M67" i="2"/>
  <c r="M89" i="2"/>
  <c r="N89" i="2"/>
  <c r="N233" i="2"/>
  <c r="M233" i="2"/>
  <c r="M200" i="2"/>
  <c r="N200" i="2"/>
  <c r="M59" i="2"/>
  <c r="N59" i="2"/>
  <c r="M45" i="2"/>
  <c r="N45" i="2"/>
  <c r="O215" i="6"/>
  <c r="Q137" i="6" l="1"/>
  <c r="Q143" i="6"/>
  <c r="Q148" i="6"/>
  <c r="O76" i="2"/>
  <c r="O59" i="2"/>
  <c r="Q274" i="2"/>
  <c r="O233" i="2"/>
  <c r="O67" i="2"/>
  <c r="O83" i="6"/>
  <c r="O75" i="6"/>
  <c r="R73" i="6" s="1"/>
  <c r="Q88" i="2"/>
  <c r="O89" i="2"/>
  <c r="O45" i="2"/>
  <c r="O200" i="2"/>
  <c r="Q199" i="2"/>
  <c r="Q152" i="6"/>
  <c r="R152" i="6"/>
  <c r="Q147" i="6" l="1"/>
  <c r="R88" i="2"/>
  <c r="R199" i="2"/>
  <c r="Q149" i="6"/>
  <c r="R274" i="2"/>
  <c r="Q270" i="2" l="1"/>
  <c r="R270" i="2" l="1"/>
  <c r="R158" i="6" l="1"/>
  <c r="Q158" i="6"/>
  <c r="Q155" i="6" l="1"/>
  <c r="Q157" i="6"/>
  <c r="Q164" i="6" l="1"/>
  <c r="R164" i="6"/>
  <c r="R172" i="6"/>
  <c r="Q172" i="6"/>
  <c r="M33" i="6"/>
  <c r="Q160" i="6" l="1"/>
  <c r="O33" i="6"/>
  <c r="Q161" i="6" l="1"/>
  <c r="Q170" i="6"/>
  <c r="R170" i="6"/>
  <c r="M143" i="6" l="1"/>
  <c r="I143" i="6" s="1"/>
  <c r="J143" i="6" s="1"/>
  <c r="M35" i="6"/>
  <c r="M53" i="6"/>
  <c r="I230" i="6" l="1"/>
  <c r="J230" i="6" s="1"/>
  <c r="I284" i="2"/>
  <c r="J284" i="2" s="1"/>
  <c r="Q166" i="6"/>
  <c r="O143" i="6"/>
  <c r="M203" i="6"/>
  <c r="R112" i="6"/>
  <c r="O35" i="6"/>
  <c r="O53" i="6"/>
  <c r="M284" i="2" l="1"/>
  <c r="O284" i="2" s="1"/>
  <c r="M230" i="6"/>
  <c r="I229" i="6" s="1"/>
  <c r="J229" i="6" s="1"/>
  <c r="R50" i="6"/>
  <c r="Q167" i="6"/>
  <c r="O203" i="6"/>
  <c r="R32" i="6"/>
  <c r="I52" i="2" l="1"/>
  <c r="J52" i="2" s="1"/>
  <c r="I82" i="2"/>
  <c r="J82" i="2" s="1"/>
  <c r="O230" i="6"/>
  <c r="R229" i="6" s="1"/>
  <c r="J237" i="6"/>
  <c r="J238" i="6" s="1"/>
  <c r="Q168" i="6"/>
  <c r="Q169" i="6" l="1"/>
  <c r="Q176" i="6"/>
  <c r="M82" i="2" l="1"/>
  <c r="N82" i="2"/>
  <c r="O82" i="2" s="1"/>
  <c r="G53" i="1"/>
  <c r="H53" i="1" s="1"/>
  <c r="I53" i="1" s="1"/>
  <c r="N52" i="2"/>
  <c r="M177" i="6"/>
  <c r="O177" i="6" s="1"/>
  <c r="R176" i="6" s="1"/>
  <c r="M153" i="6"/>
  <c r="O153" i="6" l="1"/>
  <c r="M65" i="6"/>
  <c r="I64" i="6" s="1"/>
  <c r="J64" i="6" s="1"/>
  <c r="Q182" i="6"/>
  <c r="I44" i="6" l="1"/>
  <c r="J44" i="6" s="1"/>
  <c r="M44" i="6" s="1"/>
  <c r="O44" i="6" s="1"/>
  <c r="I51" i="6"/>
  <c r="J51" i="6" s="1"/>
  <c r="M51" i="6" s="1"/>
  <c r="O51" i="6" s="1"/>
  <c r="O65" i="6"/>
  <c r="M34" i="6"/>
  <c r="O34" i="6" s="1"/>
  <c r="Q178" i="6" l="1"/>
  <c r="N186" i="2"/>
  <c r="M186" i="2"/>
  <c r="N158" i="2"/>
  <c r="M158" i="2"/>
  <c r="M176" i="2"/>
  <c r="N176" i="2"/>
  <c r="M167" i="2"/>
  <c r="N167" i="2"/>
  <c r="Q189" i="6" l="1"/>
  <c r="O186" i="2"/>
  <c r="O158" i="2"/>
  <c r="O176" i="2"/>
  <c r="O167" i="2"/>
  <c r="Q180" i="6" l="1"/>
  <c r="Q181" i="6"/>
  <c r="M226" i="2" l="1"/>
  <c r="N226" i="2"/>
  <c r="M207" i="2"/>
  <c r="N207" i="2"/>
  <c r="M217" i="2"/>
  <c r="N217" i="2"/>
  <c r="O217" i="2" l="1"/>
  <c r="O226" i="2"/>
  <c r="O207" i="2"/>
  <c r="Q184" i="6" l="1"/>
  <c r="M67" i="6" l="1"/>
  <c r="M42" i="6"/>
  <c r="O67" i="6" l="1"/>
  <c r="N196" i="2"/>
  <c r="M196" i="2"/>
  <c r="N227" i="2"/>
  <c r="M227" i="2"/>
  <c r="M187" i="2"/>
  <c r="N187" i="2"/>
  <c r="M66" i="2"/>
  <c r="N66" i="2"/>
  <c r="Q65" i="2" s="1"/>
  <c r="N177" i="2"/>
  <c r="Q176" i="2" s="1"/>
  <c r="M177" i="2"/>
  <c r="M23" i="2"/>
  <c r="N23" i="2"/>
  <c r="M208" i="2"/>
  <c r="N208" i="2"/>
  <c r="Q207" i="2" s="1"/>
  <c r="M253" i="2"/>
  <c r="N253" i="2"/>
  <c r="N168" i="2"/>
  <c r="M168" i="2"/>
  <c r="O42" i="6"/>
  <c r="N237" i="2"/>
  <c r="M237" i="2"/>
  <c r="N159" i="2"/>
  <c r="M159" i="2"/>
  <c r="M218" i="2"/>
  <c r="N218" i="2"/>
  <c r="Q217" i="2" s="1"/>
  <c r="R186" i="6" l="1"/>
  <c r="Q186" i="6"/>
  <c r="R41" i="6"/>
  <c r="Q20" i="2"/>
  <c r="O23" i="2"/>
  <c r="R20" i="2" s="1"/>
  <c r="O187" i="2"/>
  <c r="Q184" i="2"/>
  <c r="O168" i="2"/>
  <c r="R165" i="2" s="1"/>
  <c r="Q165" i="2"/>
  <c r="O253" i="2"/>
  <c r="Q252" i="2"/>
  <c r="Q174" i="2"/>
  <c r="O177" i="2"/>
  <c r="R176" i="2" s="1"/>
  <c r="O66" i="2"/>
  <c r="R65" i="2" s="1"/>
  <c r="Q64" i="2"/>
  <c r="O159" i="2"/>
  <c r="R156" i="2" s="1"/>
  <c r="Q156" i="2"/>
  <c r="O218" i="2"/>
  <c r="R217" i="2" s="1"/>
  <c r="Q216" i="2"/>
  <c r="O237" i="2"/>
  <c r="Q236" i="2"/>
  <c r="O227" i="2"/>
  <c r="O208" i="2"/>
  <c r="R207" i="2" s="1"/>
  <c r="Q206" i="2"/>
  <c r="Q194" i="2"/>
  <c r="O196" i="2"/>
  <c r="Q187" i="6" l="1"/>
  <c r="R216" i="2"/>
  <c r="R194" i="2"/>
  <c r="R236" i="2"/>
  <c r="R252" i="2"/>
  <c r="R206" i="2"/>
  <c r="R64" i="2"/>
  <c r="M104" i="6" l="1"/>
  <c r="O104" i="6" l="1"/>
  <c r="R184" i="2"/>
  <c r="R174" i="2"/>
  <c r="Q191" i="6" l="1"/>
  <c r="Q190" i="6"/>
  <c r="Q196" i="6" l="1"/>
  <c r="R196" i="6"/>
  <c r="R192" i="6" l="1"/>
  <c r="Q192" i="6"/>
  <c r="Q193" i="6" l="1"/>
  <c r="R193" i="6"/>
  <c r="Q198" i="6"/>
  <c r="R198" i="6"/>
  <c r="Q199" i="6" l="1"/>
  <c r="R199" i="6"/>
  <c r="Q202" i="6" l="1"/>
  <c r="Q204" i="6" l="1"/>
  <c r="Q205" i="6" l="1"/>
  <c r="R205" i="6"/>
  <c r="Q208" i="6" l="1"/>
  <c r="R208" i="6"/>
  <c r="Q210" i="6" l="1"/>
  <c r="R210" i="6"/>
  <c r="R211" i="6" l="1"/>
  <c r="Q211" i="6"/>
  <c r="Q214" i="6" l="1"/>
  <c r="Q216" i="6" l="1"/>
  <c r="R216" i="6"/>
  <c r="Q217" i="6" l="1"/>
  <c r="Q220" i="6"/>
  <c r="Q222" i="6" l="1"/>
  <c r="M98" i="2" l="1"/>
  <c r="N98" i="2"/>
  <c r="M86" i="2"/>
  <c r="N86" i="2"/>
  <c r="M100" i="2"/>
  <c r="N100" i="2"/>
  <c r="O98" i="2" l="1"/>
  <c r="Q110" i="2"/>
  <c r="O100" i="2"/>
  <c r="O86" i="2"/>
  <c r="R57" i="6" l="1"/>
  <c r="N54" i="2"/>
  <c r="M72" i="6" l="1"/>
  <c r="O72" i="6" s="1"/>
  <c r="M78" i="6"/>
  <c r="M80" i="6"/>
  <c r="O78" i="6" l="1"/>
  <c r="O80" i="6"/>
  <c r="R74" i="6" l="1"/>
  <c r="M49" i="6"/>
  <c r="O49" i="6" l="1"/>
  <c r="M111" i="6"/>
  <c r="O111" i="6" l="1"/>
  <c r="R110" i="6" l="1"/>
  <c r="R107" i="6"/>
  <c r="M124" i="6" l="1"/>
  <c r="M106" i="6" l="1"/>
  <c r="O124" i="6"/>
  <c r="R116" i="6" s="1"/>
  <c r="O106" i="6" l="1"/>
  <c r="M48" i="6"/>
  <c r="R123" i="6"/>
  <c r="R124" i="6"/>
  <c r="R103" i="6" l="1"/>
  <c r="R106" i="6"/>
  <c r="Q97" i="2"/>
  <c r="O48" i="6"/>
  <c r="Q85" i="2"/>
  <c r="Q98" i="2"/>
  <c r="R85" i="2" l="1"/>
  <c r="R81" i="2"/>
  <c r="M137" i="6"/>
  <c r="I137" i="6" s="1"/>
  <c r="J137" i="6" s="1"/>
  <c r="I296" i="2" s="1"/>
  <c r="J296" i="2" s="1"/>
  <c r="M138" i="6"/>
  <c r="M296" i="2" l="1"/>
  <c r="M204" i="6"/>
  <c r="I204" i="6" s="1"/>
  <c r="J204" i="6" s="1"/>
  <c r="I99" i="6" s="1"/>
  <c r="J99" i="6" s="1"/>
  <c r="O137" i="6"/>
  <c r="O138" i="6"/>
  <c r="M221" i="6"/>
  <c r="I295" i="2" l="1"/>
  <c r="J295" i="2" s="1"/>
  <c r="J305" i="2"/>
  <c r="J306" i="2" s="1"/>
  <c r="O296" i="2"/>
  <c r="O204" i="6"/>
  <c r="R204" i="6" s="1"/>
  <c r="O221" i="6"/>
  <c r="N295" i="2" l="1"/>
  <c r="O295" i="2" s="1"/>
  <c r="G54" i="1"/>
  <c r="H54" i="1" s="1"/>
  <c r="I54" i="1" s="1"/>
  <c r="I52" i="1" s="1"/>
  <c r="C17" i="8" s="1"/>
  <c r="R202" i="6"/>
  <c r="M184" i="6"/>
  <c r="M191" i="6"/>
  <c r="R214" i="6"/>
  <c r="O184" i="6" l="1"/>
  <c r="O191" i="6"/>
  <c r="R180" i="6" l="1"/>
  <c r="R189" i="6"/>
  <c r="R190" i="6"/>
  <c r="R182" i="6"/>
  <c r="R184" i="6"/>
  <c r="N269" i="2"/>
  <c r="M269" i="2"/>
  <c r="O269" i="2" l="1"/>
  <c r="Q268" i="2"/>
  <c r="R268" i="2" l="1"/>
  <c r="M84" i="6" l="1"/>
  <c r="I82" i="6" s="1"/>
  <c r="J82" i="6" s="1"/>
  <c r="I20" i="2" s="1"/>
  <c r="J20" i="2" s="1"/>
  <c r="O84" i="6" l="1"/>
  <c r="R83" i="6"/>
  <c r="M58" i="2" l="1"/>
  <c r="N58" i="2"/>
  <c r="R187" i="6" l="1"/>
  <c r="O58" i="2"/>
  <c r="Q265" i="2"/>
  <c r="Q267" i="2"/>
  <c r="R267" i="2" l="1"/>
  <c r="R265" i="2"/>
  <c r="R110" i="2" l="1"/>
  <c r="M290" i="2"/>
  <c r="N290" i="2"/>
  <c r="M32" i="6"/>
  <c r="Q284" i="2" l="1"/>
  <c r="Q293" i="2"/>
  <c r="O290" i="2"/>
  <c r="Q289" i="2"/>
  <c r="M155" i="2"/>
  <c r="O32" i="6"/>
  <c r="R47" i="6" l="1"/>
  <c r="R293" i="2"/>
  <c r="R289" i="2"/>
  <c r="R284" i="2"/>
  <c r="O155" i="2"/>
  <c r="M75" i="2" l="1"/>
  <c r="N75" i="2"/>
  <c r="M71" i="6" l="1"/>
  <c r="O75" i="2"/>
  <c r="I70" i="6" l="1"/>
  <c r="J70" i="6" s="1"/>
  <c r="I52" i="6" s="1"/>
  <c r="J52" i="6" s="1"/>
  <c r="M52" i="6" s="1"/>
  <c r="O52" i="6" s="1"/>
  <c r="O71" i="6"/>
  <c r="R70" i="6" s="1"/>
  <c r="M52" i="2"/>
  <c r="O52" i="2" l="1"/>
  <c r="M193" i="2" l="1"/>
  <c r="N193" i="2"/>
  <c r="O193" i="2" l="1"/>
  <c r="R222" i="6" l="1"/>
  <c r="R220" i="6"/>
  <c r="M224" i="2" l="1"/>
  <c r="N205" i="2"/>
  <c r="N215" i="2"/>
  <c r="M205" i="2" l="1"/>
  <c r="N224" i="2"/>
  <c r="M215" i="2"/>
  <c r="O215" i="2" l="1"/>
  <c r="O205" i="2"/>
  <c r="O224" i="2"/>
  <c r="M139" i="6" l="1"/>
  <c r="M185" i="2" l="1"/>
  <c r="N185" i="2"/>
  <c r="O139" i="6"/>
  <c r="M243" i="2"/>
  <c r="N243" i="2"/>
  <c r="N225" i="2"/>
  <c r="M77" i="2"/>
  <c r="N77" i="2"/>
  <c r="M206" i="2"/>
  <c r="N206" i="2"/>
  <c r="Q205" i="2" s="1"/>
  <c r="N55" i="2"/>
  <c r="N216" i="2"/>
  <c r="M216" i="2"/>
  <c r="Q74" i="2" l="1"/>
  <c r="Q225" i="2"/>
  <c r="Q248" i="2"/>
  <c r="Q247" i="2"/>
  <c r="Q239" i="2"/>
  <c r="Q233" i="2"/>
  <c r="Q175" i="2"/>
  <c r="Q81" i="2"/>
  <c r="Q55" i="2"/>
  <c r="Q201" i="2"/>
  <c r="Q157" i="2"/>
  <c r="R136" i="6"/>
  <c r="R129" i="6"/>
  <c r="Q258" i="2"/>
  <c r="Q183" i="2"/>
  <c r="Q191" i="2"/>
  <c r="Q192" i="2"/>
  <c r="Q76" i="2"/>
  <c r="O77" i="2"/>
  <c r="Q172" i="2"/>
  <c r="Q204" i="2"/>
  <c r="O206" i="2"/>
  <c r="R205" i="2" s="1"/>
  <c r="Q154" i="2"/>
  <c r="O185" i="2"/>
  <c r="Q257" i="2"/>
  <c r="Q223" i="2"/>
  <c r="Q242" i="2"/>
  <c r="O243" i="2"/>
  <c r="Q250" i="2"/>
  <c r="Q214" i="2"/>
  <c r="O216" i="2"/>
  <c r="AC14" i="2"/>
  <c r="W19" i="2"/>
  <c r="Q163" i="2"/>
  <c r="R214" i="2" l="1"/>
  <c r="R223" i="2"/>
  <c r="R225" i="2"/>
  <c r="R204" i="2"/>
  <c r="R201" i="2"/>
  <c r="R247" i="2"/>
  <c r="R192" i="2"/>
  <c r="R191" i="2"/>
  <c r="R55" i="2"/>
  <c r="R257" i="2"/>
  <c r="R258" i="2"/>
  <c r="R250" i="2"/>
  <c r="R248" i="2"/>
  <c r="R76" i="2"/>
  <c r="R74" i="2"/>
  <c r="R242" i="2"/>
  <c r="R239" i="2"/>
  <c r="R154" i="2"/>
  <c r="R157" i="2"/>
  <c r="M173" i="2"/>
  <c r="O173" i="2" l="1"/>
  <c r="R172" i="2" l="1"/>
  <c r="R169" i="2"/>
  <c r="R183" i="2"/>
  <c r="M99" i="2" l="1"/>
  <c r="O99" i="2" l="1"/>
  <c r="R98" i="2" l="1"/>
  <c r="R97" i="2"/>
  <c r="M81" i="6" l="1"/>
  <c r="M68" i="6"/>
  <c r="M149" i="6"/>
  <c r="I149" i="6" s="1"/>
  <c r="J149" i="6" s="1"/>
  <c r="I192" i="6" s="1"/>
  <c r="J192" i="6" s="1"/>
  <c r="O81" i="6" l="1"/>
  <c r="R80" i="6" s="1"/>
  <c r="O68" i="6"/>
  <c r="R67" i="6" s="1"/>
  <c r="O149" i="6"/>
  <c r="R77" i="6"/>
  <c r="R149" i="6" l="1"/>
  <c r="M192" i="6" l="1"/>
  <c r="I191" i="6" s="1"/>
  <c r="J191" i="6" s="1"/>
  <c r="I61" i="2" s="1"/>
  <c r="J61" i="2" s="1"/>
  <c r="M44" i="2"/>
  <c r="O44" i="2" s="1"/>
  <c r="O192" i="6" l="1"/>
  <c r="R191" i="6" s="1"/>
  <c r="M101" i="6"/>
  <c r="O101" i="6" s="1"/>
  <c r="M17" i="6"/>
  <c r="M102" i="6"/>
  <c r="O102" i="6" s="1"/>
  <c r="M145" i="6"/>
  <c r="M79" i="6"/>
  <c r="M66" i="6"/>
  <c r="I16" i="6" l="1"/>
  <c r="M61" i="2"/>
  <c r="N61" i="2"/>
  <c r="O61" i="2" s="1"/>
  <c r="M163" i="6"/>
  <c r="O163" i="6" s="1"/>
  <c r="M92" i="6"/>
  <c r="M99" i="6"/>
  <c r="O145" i="6"/>
  <c r="R143" i="6" s="1"/>
  <c r="M100" i="6"/>
  <c r="M93" i="6"/>
  <c r="O93" i="6" s="1"/>
  <c r="O66" i="6"/>
  <c r="R64" i="6" s="1"/>
  <c r="O79" i="6"/>
  <c r="R76" i="6" s="1"/>
  <c r="O17" i="6"/>
  <c r="R16" i="6" s="1"/>
  <c r="J16" i="6" l="1"/>
  <c r="O100" i="6"/>
  <c r="M171" i="6"/>
  <c r="O171" i="6" s="1"/>
  <c r="R65" i="6"/>
  <c r="R66" i="6"/>
  <c r="R78" i="6"/>
  <c r="R79" i="6"/>
  <c r="R181" i="6"/>
  <c r="R144" i="6"/>
  <c r="M58" i="6"/>
  <c r="I58" i="6" s="1"/>
  <c r="J58" i="6" s="1"/>
  <c r="M169" i="6"/>
  <c r="M158" i="6"/>
  <c r="N19" i="2" s="1"/>
  <c r="M73" i="2"/>
  <c r="N73" i="2"/>
  <c r="O99" i="6"/>
  <c r="O92" i="6"/>
  <c r="R82" i="6" s="1"/>
  <c r="M38" i="6"/>
  <c r="I62" i="2" l="1"/>
  <c r="J62" i="2" s="1"/>
  <c r="N62" i="2" s="1"/>
  <c r="O62" i="2" s="1"/>
  <c r="I43" i="6"/>
  <c r="J43" i="6" s="1"/>
  <c r="I50" i="6"/>
  <c r="J50" i="6" s="1"/>
  <c r="M164" i="6"/>
  <c r="O164" i="6" s="1"/>
  <c r="R98" i="6"/>
  <c r="R97" i="6"/>
  <c r="R91" i="6"/>
  <c r="R90" i="6"/>
  <c r="N201" i="2"/>
  <c r="M201" i="2"/>
  <c r="O38" i="6"/>
  <c r="N56" i="2"/>
  <c r="N277" i="2"/>
  <c r="M277" i="2"/>
  <c r="M168" i="6"/>
  <c r="M57" i="6"/>
  <c r="O57" i="6" s="1"/>
  <c r="M276" i="2"/>
  <c r="N276" i="2"/>
  <c r="M96" i="2"/>
  <c r="N96" i="2"/>
  <c r="N57" i="2"/>
  <c r="M57" i="2"/>
  <c r="M74" i="2"/>
  <c r="N74" i="2"/>
  <c r="O169" i="6"/>
  <c r="M286" i="2"/>
  <c r="N286" i="2"/>
  <c r="N65" i="2"/>
  <c r="M65" i="2"/>
  <c r="N240" i="2"/>
  <c r="M240" i="2"/>
  <c r="N164" i="2"/>
  <c r="M164" i="2"/>
  <c r="M110" i="2"/>
  <c r="N110" i="2"/>
  <c r="M259" i="2"/>
  <c r="N259" i="2"/>
  <c r="O58" i="6"/>
  <c r="R58" i="6" s="1"/>
  <c r="N97" i="2"/>
  <c r="M97" i="2"/>
  <c r="M87" i="2"/>
  <c r="N87" i="2"/>
  <c r="M198" i="2"/>
  <c r="N198" i="2"/>
  <c r="N33" i="2"/>
  <c r="Q30" i="2" s="1"/>
  <c r="M33" i="2"/>
  <c r="O73" i="2"/>
  <c r="N249" i="2"/>
  <c r="M249" i="2"/>
  <c r="M287" i="2"/>
  <c r="N287" i="2"/>
  <c r="M163" i="2"/>
  <c r="N163" i="2"/>
  <c r="O158" i="6"/>
  <c r="M190" i="2"/>
  <c r="N190" i="2"/>
  <c r="N111" i="2"/>
  <c r="M111" i="2"/>
  <c r="M56" i="6"/>
  <c r="M167" i="6"/>
  <c r="N268" i="2"/>
  <c r="M268" i="2"/>
  <c r="M182" i="2"/>
  <c r="N182" i="2"/>
  <c r="M62" i="2" l="1"/>
  <c r="M43" i="6"/>
  <c r="O167" i="6"/>
  <c r="O201" i="2"/>
  <c r="R147" i="6"/>
  <c r="R155" i="6"/>
  <c r="M170" i="6"/>
  <c r="O65" i="2"/>
  <c r="O168" i="6"/>
  <c r="R45" i="6"/>
  <c r="O56" i="6"/>
  <c r="O287" i="2"/>
  <c r="O97" i="2"/>
  <c r="O164" i="2"/>
  <c r="O249" i="2"/>
  <c r="O268" i="2"/>
  <c r="O259" i="2"/>
  <c r="O57" i="2"/>
  <c r="O240" i="2"/>
  <c r="O111" i="2"/>
  <c r="O74" i="2"/>
  <c r="O277" i="2"/>
  <c r="R157" i="6"/>
  <c r="R148" i="6"/>
  <c r="M247" i="2"/>
  <c r="M257" i="2"/>
  <c r="M229" i="2"/>
  <c r="M34" i="2"/>
  <c r="Q72" i="2"/>
  <c r="R72" i="2"/>
  <c r="O182" i="2"/>
  <c r="Q181" i="2"/>
  <c r="M230" i="2"/>
  <c r="N230" i="2"/>
  <c r="O286" i="2"/>
  <c r="Q285" i="2"/>
  <c r="O190" i="2"/>
  <c r="Q189" i="2"/>
  <c r="M248" i="2"/>
  <c r="N248" i="2"/>
  <c r="O96" i="2"/>
  <c r="Q95" i="2"/>
  <c r="M258" i="2"/>
  <c r="N258" i="2"/>
  <c r="O33" i="2"/>
  <c r="Q32" i="2"/>
  <c r="Q86" i="2"/>
  <c r="O87" i="2"/>
  <c r="R86" i="2" s="1"/>
  <c r="O276" i="2"/>
  <c r="Q275" i="2"/>
  <c r="O163" i="2"/>
  <c r="R162" i="2" s="1"/>
  <c r="Q162" i="2"/>
  <c r="O198" i="2"/>
  <c r="R197" i="2" s="1"/>
  <c r="Q197" i="2"/>
  <c r="M239" i="2"/>
  <c r="N239" i="2"/>
  <c r="R55" i="6"/>
  <c r="N267" i="2"/>
  <c r="M267" i="2"/>
  <c r="R166" i="6"/>
  <c r="O110" i="2"/>
  <c r="Q108" i="2"/>
  <c r="N64" i="2"/>
  <c r="M64" i="2"/>
  <c r="Q53" i="2"/>
  <c r="O43" i="6" l="1"/>
  <c r="I42" i="6"/>
  <c r="J42" i="6" s="1"/>
  <c r="I97" i="6" s="1"/>
  <c r="J97" i="6" s="1"/>
  <c r="M50" i="6"/>
  <c r="I49" i="6" s="1"/>
  <c r="J49" i="6" s="1"/>
  <c r="I96" i="6" s="1"/>
  <c r="J96" i="6" s="1"/>
  <c r="R275" i="2"/>
  <c r="Q224" i="2"/>
  <c r="R285" i="2"/>
  <c r="O170" i="6"/>
  <c r="M225" i="2"/>
  <c r="R53" i="6"/>
  <c r="R160" i="6"/>
  <c r="R95" i="2"/>
  <c r="R189" i="2"/>
  <c r="R181" i="2"/>
  <c r="O229" i="2"/>
  <c r="O34" i="2"/>
  <c r="R30" i="2" s="1"/>
  <c r="M238" i="2"/>
  <c r="M35" i="2"/>
  <c r="M109" i="2"/>
  <c r="O248" i="2"/>
  <c r="Q246" i="2"/>
  <c r="O257" i="2"/>
  <c r="O239" i="2"/>
  <c r="Q237" i="2"/>
  <c r="Q63" i="2"/>
  <c r="O64" i="2"/>
  <c r="O258" i="2"/>
  <c r="Q256" i="2"/>
  <c r="O230" i="2"/>
  <c r="Q228" i="2"/>
  <c r="O267" i="2"/>
  <c r="Q266" i="2"/>
  <c r="O247" i="2"/>
  <c r="O35" i="2" l="1"/>
  <c r="O50" i="6"/>
  <c r="O225" i="2"/>
  <c r="M173" i="6"/>
  <c r="M30" i="6"/>
  <c r="M39" i="6"/>
  <c r="R63" i="2"/>
  <c r="R266" i="2"/>
  <c r="R228" i="2"/>
  <c r="R246" i="2"/>
  <c r="O109" i="2"/>
  <c r="O238" i="2"/>
  <c r="R256" i="2"/>
  <c r="M97" i="6" l="1"/>
  <c r="O97" i="6" s="1"/>
  <c r="R224" i="2"/>
  <c r="O173" i="6"/>
  <c r="R138" i="6"/>
  <c r="R168" i="6"/>
  <c r="R130" i="6"/>
  <c r="M46" i="2"/>
  <c r="N46" i="2"/>
  <c r="O39" i="6"/>
  <c r="O30" i="6"/>
  <c r="R108" i="2"/>
  <c r="R237" i="2"/>
  <c r="M42" i="2"/>
  <c r="O42" i="2" s="1"/>
  <c r="M41" i="2"/>
  <c r="O41" i="2" s="1"/>
  <c r="M37" i="2"/>
  <c r="M39" i="2"/>
  <c r="M38" i="2"/>
  <c r="O38" i="2" s="1"/>
  <c r="M40" i="2"/>
  <c r="O40" i="2" s="1"/>
  <c r="M36" i="2"/>
  <c r="M43" i="2"/>
  <c r="I32" i="2" l="1"/>
  <c r="J32" i="2" s="1"/>
  <c r="J35" i="2"/>
  <c r="J36" i="2" s="1"/>
  <c r="O39" i="2"/>
  <c r="M96" i="6"/>
  <c r="R28" i="6"/>
  <c r="O46" i="2"/>
  <c r="O37" i="2"/>
  <c r="R37" i="2" s="1"/>
  <c r="R37" i="6"/>
  <c r="O36" i="2"/>
  <c r="R32" i="2" s="1"/>
  <c r="O43" i="2"/>
  <c r="G19" i="1" l="1"/>
  <c r="H19" i="1" s="1"/>
  <c r="I19" i="1" s="1"/>
  <c r="O96" i="6"/>
  <c r="M55" i="6"/>
  <c r="R233" i="2"/>
  <c r="R163" i="2"/>
  <c r="R175" i="2"/>
  <c r="R142" i="6"/>
  <c r="O55" i="6" l="1"/>
  <c r="R54" i="6" l="1"/>
  <c r="R49" i="6"/>
  <c r="N278" i="2"/>
  <c r="M235" i="2"/>
  <c r="N291" i="2"/>
  <c r="M265" i="2"/>
  <c r="N245" i="2"/>
  <c r="M214" i="2"/>
  <c r="M148" i="2"/>
  <c r="M191" i="2"/>
  <c r="N139" i="2"/>
  <c r="N255" i="2"/>
  <c r="N202" i="2"/>
  <c r="N157" i="2"/>
  <c r="M132" i="6"/>
  <c r="M141" i="6"/>
  <c r="O141" i="6" s="1"/>
  <c r="M133" i="6"/>
  <c r="O133" i="6" s="1"/>
  <c r="M142" i="6"/>
  <c r="O142" i="6" s="1"/>
  <c r="I131" i="6" l="1"/>
  <c r="J131" i="6" s="1"/>
  <c r="I179" i="6" s="1"/>
  <c r="J179" i="6" s="1"/>
  <c r="M179" i="6" s="1"/>
  <c r="M108" i="2"/>
  <c r="N123" i="2"/>
  <c r="M47" i="2"/>
  <c r="M20" i="2"/>
  <c r="M47" i="6"/>
  <c r="M172" i="6"/>
  <c r="I167" i="6" s="1"/>
  <c r="J167" i="6" s="1"/>
  <c r="I53" i="2" s="1"/>
  <c r="J53" i="2" s="1"/>
  <c r="M31" i="6"/>
  <c r="I29" i="6" s="1"/>
  <c r="J29" i="6" s="1"/>
  <c r="N116" i="2"/>
  <c r="N130" i="2"/>
  <c r="M79" i="2"/>
  <c r="O132" i="6"/>
  <c r="R131" i="6" s="1"/>
  <c r="M278" i="2"/>
  <c r="N191" i="2"/>
  <c r="O191" i="2" s="1"/>
  <c r="M157" i="2"/>
  <c r="O157" i="2" s="1"/>
  <c r="N148" i="2"/>
  <c r="O148" i="2" s="1"/>
  <c r="M245" i="2"/>
  <c r="N214" i="2"/>
  <c r="M202" i="2"/>
  <c r="M255" i="2"/>
  <c r="M139" i="2"/>
  <c r="O139" i="2" s="1"/>
  <c r="M291" i="2"/>
  <c r="N265" i="2"/>
  <c r="N235" i="2"/>
  <c r="M63" i="2"/>
  <c r="M147" i="2"/>
  <c r="N147" i="2"/>
  <c r="N292" i="2"/>
  <c r="M292" i="2"/>
  <c r="M156" i="2"/>
  <c r="N156" i="2"/>
  <c r="M266" i="2"/>
  <c r="N266" i="2"/>
  <c r="N115" i="2"/>
  <c r="M115" i="2"/>
  <c r="M138" i="2"/>
  <c r="N138" i="2"/>
  <c r="Q200" i="2"/>
  <c r="N279" i="2"/>
  <c r="M279" i="2"/>
  <c r="N192" i="2"/>
  <c r="M192" i="2"/>
  <c r="N246" i="2"/>
  <c r="M246" i="2"/>
  <c r="M256" i="2"/>
  <c r="N256" i="2"/>
  <c r="N236" i="2"/>
  <c r="M236" i="2"/>
  <c r="I178" i="6" l="1"/>
  <c r="J178" i="6" s="1"/>
  <c r="O179" i="6"/>
  <c r="R178" i="6" s="1"/>
  <c r="I261" i="2"/>
  <c r="J261" i="2" s="1"/>
  <c r="I195" i="2"/>
  <c r="J195" i="2" s="1"/>
  <c r="I271" i="2"/>
  <c r="J271" i="2" s="1"/>
  <c r="I231" i="2"/>
  <c r="J231" i="2" s="1"/>
  <c r="I166" i="2"/>
  <c r="J166" i="2" s="1"/>
  <c r="I91" i="2"/>
  <c r="J91" i="2" s="1"/>
  <c r="M91" i="2" s="1"/>
  <c r="I242" i="2"/>
  <c r="J242" i="2" s="1"/>
  <c r="I204" i="2"/>
  <c r="J204" i="2" s="1"/>
  <c r="I212" i="2"/>
  <c r="J212" i="2" s="1"/>
  <c r="I143" i="2"/>
  <c r="J143" i="2" s="1"/>
  <c r="I134" i="2"/>
  <c r="J134" i="2" s="1"/>
  <c r="I183" i="2"/>
  <c r="J183" i="2" s="1"/>
  <c r="I174" i="2"/>
  <c r="J174" i="2" s="1"/>
  <c r="I122" i="2"/>
  <c r="J122" i="2" s="1"/>
  <c r="I102" i="2"/>
  <c r="J102" i="2" s="1"/>
  <c r="I250" i="2"/>
  <c r="J250" i="2" s="1"/>
  <c r="I113" i="2"/>
  <c r="J113" i="2" s="1"/>
  <c r="I81" i="2"/>
  <c r="J81" i="2" s="1"/>
  <c r="I153" i="2"/>
  <c r="J153" i="2" s="1"/>
  <c r="I72" i="2"/>
  <c r="J72" i="2" s="1"/>
  <c r="I222" i="2"/>
  <c r="J222" i="2" s="1"/>
  <c r="I60" i="2"/>
  <c r="J60" i="2" s="1"/>
  <c r="J65" i="2"/>
  <c r="J66" i="2" s="1"/>
  <c r="J291" i="2"/>
  <c r="J292" i="2" s="1"/>
  <c r="I39" i="2"/>
  <c r="J39" i="2" s="1"/>
  <c r="J46" i="2"/>
  <c r="J47" i="2" s="1"/>
  <c r="I283" i="2"/>
  <c r="N53" i="2"/>
  <c r="M53" i="2"/>
  <c r="O291" i="2"/>
  <c r="O278" i="2"/>
  <c r="O255" i="2"/>
  <c r="O245" i="2"/>
  <c r="O202" i="2"/>
  <c r="O235" i="2"/>
  <c r="R200" i="2"/>
  <c r="Q212" i="2"/>
  <c r="O279" i="2"/>
  <c r="R277" i="2" s="1"/>
  <c r="Q295" i="2"/>
  <c r="O265" i="2"/>
  <c r="M40" i="6"/>
  <c r="N79" i="2"/>
  <c r="M130" i="2"/>
  <c r="O130" i="2" s="1"/>
  <c r="R129" i="2" s="1"/>
  <c r="O214" i="2"/>
  <c r="N63" i="2"/>
  <c r="N108" i="2"/>
  <c r="Q107" i="2" s="1"/>
  <c r="O172" i="6"/>
  <c r="M116" i="2"/>
  <c r="N20" i="2"/>
  <c r="O31" i="6"/>
  <c r="N47" i="2"/>
  <c r="O47" i="6"/>
  <c r="M123" i="2"/>
  <c r="O123" i="2" s="1"/>
  <c r="Q277" i="2"/>
  <c r="O236" i="2"/>
  <c r="R234" i="2" s="1"/>
  <c r="Q234" i="2"/>
  <c r="O256" i="2"/>
  <c r="R254" i="2" s="1"/>
  <c r="Q254" i="2"/>
  <c r="O115" i="2"/>
  <c r="Q114" i="2"/>
  <c r="O266" i="2"/>
  <c r="R264" i="2" s="1"/>
  <c r="Q264" i="2"/>
  <c r="O147" i="2"/>
  <c r="Q146" i="2"/>
  <c r="Q122" i="2"/>
  <c r="O246" i="2"/>
  <c r="R244" i="2" s="1"/>
  <c r="Q244" i="2"/>
  <c r="O192" i="2"/>
  <c r="R190" i="2" s="1"/>
  <c r="Q190" i="2"/>
  <c r="Q129" i="2"/>
  <c r="O138" i="2"/>
  <c r="Q137" i="2"/>
  <c r="O156" i="2"/>
  <c r="Q155" i="2"/>
  <c r="O292" i="2"/>
  <c r="Q290" i="2"/>
  <c r="I165" i="2" l="1"/>
  <c r="J165" i="2" s="1"/>
  <c r="I90" i="2"/>
  <c r="J90" i="2" s="1"/>
  <c r="I241" i="2"/>
  <c r="J241" i="2" s="1"/>
  <c r="I232" i="2"/>
  <c r="J232" i="2" s="1"/>
  <c r="I194" i="2"/>
  <c r="J194" i="2" s="1"/>
  <c r="I175" i="2"/>
  <c r="J175" i="2" s="1"/>
  <c r="N175" i="2" s="1"/>
  <c r="O175" i="2" s="1"/>
  <c r="I80" i="2"/>
  <c r="J80" i="2" s="1"/>
  <c r="N80" i="2" s="1"/>
  <c r="O80" i="2" s="1"/>
  <c r="I203" i="2"/>
  <c r="J203" i="2" s="1"/>
  <c r="M203" i="2" s="1"/>
  <c r="I133" i="2"/>
  <c r="J133" i="2" s="1"/>
  <c r="N133" i="2" s="1"/>
  <c r="I144" i="2"/>
  <c r="J144" i="2" s="1"/>
  <c r="I101" i="2"/>
  <c r="J101" i="2" s="1"/>
  <c r="N101" i="2" s="1"/>
  <c r="O101" i="2" s="1"/>
  <c r="I213" i="2"/>
  <c r="J213" i="2" s="1"/>
  <c r="I112" i="2"/>
  <c r="J112" i="2" s="1"/>
  <c r="I270" i="2"/>
  <c r="J270" i="2" s="1"/>
  <c r="M270" i="2" s="1"/>
  <c r="I71" i="2"/>
  <c r="J71" i="2" s="1"/>
  <c r="M71" i="2" s="1"/>
  <c r="I184" i="2"/>
  <c r="J184" i="2" s="1"/>
  <c r="M184" i="2" s="1"/>
  <c r="I121" i="2"/>
  <c r="J121" i="2" s="1"/>
  <c r="M121" i="2" s="1"/>
  <c r="I251" i="2"/>
  <c r="J251" i="2" s="1"/>
  <c r="M251" i="2" s="1"/>
  <c r="I152" i="2"/>
  <c r="J152" i="2" s="1"/>
  <c r="M152" i="2" s="1"/>
  <c r="I223" i="2"/>
  <c r="J223" i="2" s="1"/>
  <c r="I260" i="2"/>
  <c r="J260" i="2" s="1"/>
  <c r="M260" i="2" s="1"/>
  <c r="J283" i="2"/>
  <c r="N283" i="2" s="1"/>
  <c r="N91" i="2"/>
  <c r="O91" i="2" s="1"/>
  <c r="M194" i="2"/>
  <c r="N194" i="2"/>
  <c r="M112" i="2"/>
  <c r="N112" i="2"/>
  <c r="N81" i="2"/>
  <c r="O81" i="2" s="1"/>
  <c r="M81" i="2"/>
  <c r="N166" i="2"/>
  <c r="O166" i="2" s="1"/>
  <c r="M166" i="2"/>
  <c r="N231" i="2"/>
  <c r="M231" i="2"/>
  <c r="N144" i="2"/>
  <c r="O144" i="2" s="1"/>
  <c r="M144" i="2"/>
  <c r="M212" i="2"/>
  <c r="N212" i="2"/>
  <c r="N195" i="2"/>
  <c r="O195" i="2" s="1"/>
  <c r="M195" i="2"/>
  <c r="M250" i="2"/>
  <c r="N250" i="2"/>
  <c r="M232" i="2"/>
  <c r="N232" i="2"/>
  <c r="O232" i="2" s="1"/>
  <c r="M122" i="2"/>
  <c r="N122" i="2"/>
  <c r="O122" i="2" s="1"/>
  <c r="N183" i="2"/>
  <c r="M183" i="2"/>
  <c r="N271" i="2"/>
  <c r="O271" i="2" s="1"/>
  <c r="M271" i="2"/>
  <c r="N90" i="2"/>
  <c r="O90" i="2" s="1"/>
  <c r="M90" i="2"/>
  <c r="J94" i="2" s="1"/>
  <c r="M165" i="2"/>
  <c r="N165" i="2"/>
  <c r="M153" i="2"/>
  <c r="N153" i="2"/>
  <c r="O153" i="2" s="1"/>
  <c r="N102" i="2"/>
  <c r="O102" i="2" s="1"/>
  <c r="M102" i="2"/>
  <c r="M242" i="2"/>
  <c r="N242" i="2"/>
  <c r="O242" i="2" s="1"/>
  <c r="N222" i="2"/>
  <c r="M222" i="2"/>
  <c r="N134" i="2"/>
  <c r="O134" i="2" s="1"/>
  <c r="M134" i="2"/>
  <c r="M261" i="2"/>
  <c r="N261" i="2"/>
  <c r="O261" i="2" s="1"/>
  <c r="N241" i="2"/>
  <c r="M241" i="2"/>
  <c r="M223" i="2"/>
  <c r="N223" i="2"/>
  <c r="O223" i="2" s="1"/>
  <c r="M113" i="2"/>
  <c r="N113" i="2"/>
  <c r="O113" i="2" s="1"/>
  <c r="N174" i="2"/>
  <c r="M174" i="2"/>
  <c r="M213" i="2"/>
  <c r="N213" i="2"/>
  <c r="O213" i="2" s="1"/>
  <c r="M143" i="2"/>
  <c r="N143" i="2"/>
  <c r="G24" i="1"/>
  <c r="H24" i="1" s="1"/>
  <c r="I24" i="1" s="1"/>
  <c r="I23" i="1" s="1"/>
  <c r="C11" i="8" s="1"/>
  <c r="O53" i="2"/>
  <c r="Q51" i="2"/>
  <c r="M72" i="2"/>
  <c r="N72" i="2"/>
  <c r="O72" i="2" s="1"/>
  <c r="M204" i="2"/>
  <c r="N204" i="2"/>
  <c r="O204" i="2" s="1"/>
  <c r="O116" i="2"/>
  <c r="G20" i="1"/>
  <c r="H20" i="1" s="1"/>
  <c r="I20" i="1" s="1"/>
  <c r="I18" i="1" s="1"/>
  <c r="O79" i="2"/>
  <c r="R295" i="2"/>
  <c r="R137" i="2"/>
  <c r="R146" i="2"/>
  <c r="O47" i="2"/>
  <c r="Q39" i="2"/>
  <c r="Q17" i="2"/>
  <c r="O63" i="2"/>
  <c r="Q60" i="2"/>
  <c r="R122" i="2"/>
  <c r="R114" i="2"/>
  <c r="R290" i="2"/>
  <c r="R155" i="2"/>
  <c r="R212" i="2"/>
  <c r="R169" i="6"/>
  <c r="R167" i="6"/>
  <c r="R46" i="6"/>
  <c r="R42" i="6"/>
  <c r="O40" i="6"/>
  <c r="R38" i="6" s="1"/>
  <c r="Q78" i="2"/>
  <c r="M140" i="6"/>
  <c r="Q62" i="2"/>
  <c r="Q45" i="2"/>
  <c r="O108" i="2"/>
  <c r="R107" i="2" s="1"/>
  <c r="O20" i="2"/>
  <c r="J75" i="2" l="1"/>
  <c r="M133" i="2"/>
  <c r="N260" i="2"/>
  <c r="N121" i="2"/>
  <c r="M101" i="2"/>
  <c r="N251" i="2"/>
  <c r="O251" i="2" s="1"/>
  <c r="N152" i="2"/>
  <c r="M175" i="2"/>
  <c r="N270" i="2"/>
  <c r="O270" i="2" s="1"/>
  <c r="R269" i="2" s="1"/>
  <c r="J245" i="2"/>
  <c r="J246" i="2" s="1"/>
  <c r="N184" i="2"/>
  <c r="O184" i="2" s="1"/>
  <c r="J264" i="2"/>
  <c r="N203" i="2"/>
  <c r="O203" i="2" s="1"/>
  <c r="R202" i="2" s="1"/>
  <c r="N71" i="2"/>
  <c r="O71" i="2" s="1"/>
  <c r="R70" i="2" s="1"/>
  <c r="M80" i="2"/>
  <c r="J85" i="2" s="1"/>
  <c r="J86" i="2" s="1"/>
  <c r="J137" i="2"/>
  <c r="J138" i="2" s="1"/>
  <c r="J217" i="2"/>
  <c r="J218" i="2" s="1"/>
  <c r="I100" i="2"/>
  <c r="J100" i="2" s="1"/>
  <c r="J107" i="2"/>
  <c r="J108" i="2" s="1"/>
  <c r="J188" i="2"/>
  <c r="I269" i="2"/>
  <c r="J269" i="2" s="1"/>
  <c r="J278" i="2"/>
  <c r="J279" i="2" s="1"/>
  <c r="Q89" i="2"/>
  <c r="I142" i="2"/>
  <c r="J142" i="2" s="1"/>
  <c r="J147" i="2"/>
  <c r="J148" i="2" s="1"/>
  <c r="I120" i="2"/>
  <c r="J120" i="2" s="1"/>
  <c r="J128" i="2"/>
  <c r="I151" i="2"/>
  <c r="J151" i="2" s="1"/>
  <c r="J160" i="2"/>
  <c r="J161" i="2" s="1"/>
  <c r="I202" i="2"/>
  <c r="J202" i="2" s="1"/>
  <c r="J207" i="2"/>
  <c r="J208" i="2" s="1"/>
  <c r="I70" i="2"/>
  <c r="J70" i="2" s="1"/>
  <c r="I79" i="2"/>
  <c r="J79" i="2" s="1"/>
  <c r="I193" i="2"/>
  <c r="J193" i="2" s="1"/>
  <c r="J198" i="2"/>
  <c r="J199" i="2" s="1"/>
  <c r="I173" i="2"/>
  <c r="J173" i="2" s="1"/>
  <c r="J178" i="2"/>
  <c r="J179" i="2" s="1"/>
  <c r="I164" i="2"/>
  <c r="J164" i="2" s="1"/>
  <c r="J169" i="2"/>
  <c r="J170" i="2" s="1"/>
  <c r="I249" i="2"/>
  <c r="J249" i="2" s="1"/>
  <c r="J255" i="2"/>
  <c r="J256" i="2" s="1"/>
  <c r="I111" i="2"/>
  <c r="J111" i="2" s="1"/>
  <c r="J116" i="2"/>
  <c r="J117" i="2" s="1"/>
  <c r="I221" i="2"/>
  <c r="J221" i="2" s="1"/>
  <c r="J226" i="2"/>
  <c r="J227" i="2" s="1"/>
  <c r="J236" i="2"/>
  <c r="J237" i="2" s="1"/>
  <c r="I259" i="2"/>
  <c r="J259" i="2" s="1"/>
  <c r="I240" i="2"/>
  <c r="J240" i="2" s="1"/>
  <c r="I230" i="2"/>
  <c r="J230" i="2" s="1"/>
  <c r="I211" i="2"/>
  <c r="J211" i="2" s="1"/>
  <c r="I182" i="2"/>
  <c r="J182" i="2" s="1"/>
  <c r="I132" i="2"/>
  <c r="J132" i="2" s="1"/>
  <c r="J95" i="2"/>
  <c r="I89" i="2"/>
  <c r="J89" i="2" s="1"/>
  <c r="O283" i="2"/>
  <c r="R283" i="2" s="1"/>
  <c r="Q283" i="2"/>
  <c r="R89" i="2"/>
  <c r="Q100" i="2"/>
  <c r="Q79" i="2"/>
  <c r="O143" i="2"/>
  <c r="R142" i="2" s="1"/>
  <c r="Q142" i="2"/>
  <c r="Q182" i="2"/>
  <c r="O183" i="2"/>
  <c r="R182" i="2" s="1"/>
  <c r="O241" i="2"/>
  <c r="R240" i="2" s="1"/>
  <c r="Q240" i="2"/>
  <c r="O165" i="2"/>
  <c r="R164" i="2" s="1"/>
  <c r="Q164" i="2"/>
  <c r="O250" i="2"/>
  <c r="R249" i="2" s="1"/>
  <c r="Q249" i="2"/>
  <c r="J76" i="2"/>
  <c r="O174" i="2"/>
  <c r="R173" i="2" s="1"/>
  <c r="Q173" i="2"/>
  <c r="O222" i="2"/>
  <c r="R221" i="2" s="1"/>
  <c r="Q221" i="2"/>
  <c r="O260" i="2"/>
  <c r="R259" i="2" s="1"/>
  <c r="Q259" i="2"/>
  <c r="O112" i="2"/>
  <c r="R111" i="2" s="1"/>
  <c r="Q111" i="2"/>
  <c r="J265" i="2"/>
  <c r="O121" i="2"/>
  <c r="R120" i="2" s="1"/>
  <c r="Q120" i="2"/>
  <c r="O133" i="2"/>
  <c r="R132" i="2" s="1"/>
  <c r="Q132" i="2"/>
  <c r="O212" i="2"/>
  <c r="R211" i="2" s="1"/>
  <c r="Q211" i="2"/>
  <c r="O194" i="2"/>
  <c r="R193" i="2" s="1"/>
  <c r="Q193" i="2"/>
  <c r="O152" i="2"/>
  <c r="R151" i="2" s="1"/>
  <c r="Q151" i="2"/>
  <c r="Q202" i="2"/>
  <c r="J129" i="2"/>
  <c r="J189" i="2"/>
  <c r="O231" i="2"/>
  <c r="R230" i="2" s="1"/>
  <c r="Q230" i="2"/>
  <c r="R62" i="2"/>
  <c r="R60" i="2"/>
  <c r="R78" i="2"/>
  <c r="R79" i="2"/>
  <c r="R45" i="2"/>
  <c r="R39" i="2"/>
  <c r="R100" i="2"/>
  <c r="R29" i="6"/>
  <c r="M56" i="2"/>
  <c r="M18" i="2"/>
  <c r="M54" i="2"/>
  <c r="M55" i="2"/>
  <c r="M162" i="6"/>
  <c r="O140" i="6"/>
  <c r="Q269" i="2" l="1"/>
  <c r="Q70" i="2"/>
  <c r="I161" i="6"/>
  <c r="J161" i="6" s="1"/>
  <c r="I218" i="6" s="1"/>
  <c r="J218" i="6" s="1"/>
  <c r="M218" i="6" s="1"/>
  <c r="G26" i="1"/>
  <c r="J55" i="2"/>
  <c r="J56" i="2" s="1"/>
  <c r="G44" i="1"/>
  <c r="H44" i="1" s="1"/>
  <c r="I44" i="1" s="1"/>
  <c r="G28" i="1"/>
  <c r="I51" i="2"/>
  <c r="J51" i="2" s="1"/>
  <c r="G32" i="1"/>
  <c r="H32" i="1" s="1"/>
  <c r="I32" i="1" s="1"/>
  <c r="G45" i="1"/>
  <c r="H45" i="1" s="1"/>
  <c r="I45" i="1" s="1"/>
  <c r="G42" i="1"/>
  <c r="H42" i="1" s="1"/>
  <c r="I42" i="1" s="1"/>
  <c r="G34" i="1"/>
  <c r="H34" i="1" s="1"/>
  <c r="I34" i="1" s="1"/>
  <c r="G39" i="1"/>
  <c r="H39" i="1" s="1"/>
  <c r="I39" i="1" s="1"/>
  <c r="G40" i="1"/>
  <c r="H40" i="1" s="1"/>
  <c r="I40" i="1" s="1"/>
  <c r="G33" i="1"/>
  <c r="H33" i="1" s="1"/>
  <c r="I33" i="1" s="1"/>
  <c r="G49" i="1"/>
  <c r="H49" i="1" s="1"/>
  <c r="I49" i="1" s="1"/>
  <c r="G36" i="1"/>
  <c r="H36" i="1" s="1"/>
  <c r="I36" i="1" s="1"/>
  <c r="G37" i="1"/>
  <c r="H37" i="1" s="1"/>
  <c r="I37" i="1" s="1"/>
  <c r="G48" i="1"/>
  <c r="H48" i="1" s="1"/>
  <c r="I48" i="1" s="1"/>
  <c r="G47" i="1"/>
  <c r="H47" i="1" s="1"/>
  <c r="I47" i="1" s="1"/>
  <c r="G38" i="1"/>
  <c r="H38" i="1" s="1"/>
  <c r="I38" i="1" s="1"/>
  <c r="G31" i="1"/>
  <c r="H31" i="1" s="1"/>
  <c r="I31" i="1" s="1"/>
  <c r="G51" i="1"/>
  <c r="H51" i="1" s="1"/>
  <c r="I51" i="1" s="1"/>
  <c r="I50" i="1" s="1"/>
  <c r="G46" i="1"/>
  <c r="H46" i="1" s="1"/>
  <c r="I46" i="1" s="1"/>
  <c r="G43" i="1"/>
  <c r="H43" i="1" s="1"/>
  <c r="I43" i="1" s="1"/>
  <c r="G27" i="1"/>
  <c r="O55" i="2"/>
  <c r="O56" i="2"/>
  <c r="R139" i="6"/>
  <c r="R137" i="6"/>
  <c r="O54" i="2"/>
  <c r="O18" i="2"/>
  <c r="O162" i="6"/>
  <c r="R161" i="6" s="1"/>
  <c r="H28" i="1" l="1"/>
  <c r="I28" i="1" s="1"/>
  <c r="H26" i="1"/>
  <c r="I26" i="1" s="1"/>
  <c r="H27" i="1"/>
  <c r="I27" i="1" s="1"/>
  <c r="I217" i="6"/>
  <c r="J217" i="6" s="1"/>
  <c r="O218" i="6"/>
  <c r="R217" i="6" s="1"/>
  <c r="I30" i="1"/>
  <c r="I35" i="1"/>
  <c r="I41" i="1"/>
  <c r="G22" i="1"/>
  <c r="H22" i="1" s="1"/>
  <c r="I22" i="1" s="1"/>
  <c r="I21" i="1" s="1"/>
  <c r="R17" i="2"/>
  <c r="R53" i="2"/>
  <c r="R51" i="2"/>
  <c r="I25" i="1" l="1"/>
  <c r="C13" i="8" s="1"/>
  <c r="I98" i="6"/>
  <c r="J98" i="6" s="1"/>
  <c r="M98" i="6" s="1"/>
  <c r="I95" i="6" s="1"/>
  <c r="J95" i="6" s="1"/>
  <c r="I19" i="2" s="1"/>
  <c r="J19" i="2" s="1"/>
  <c r="M19" i="2" s="1"/>
  <c r="I21" i="2"/>
  <c r="J21" i="2" s="1"/>
  <c r="M21" i="2" s="1"/>
  <c r="I29" i="1"/>
  <c r="C15" i="8" s="1"/>
  <c r="O98" i="6" l="1"/>
  <c r="R95" i="6" s="1"/>
  <c r="N21" i="2"/>
  <c r="O21" i="2" s="1"/>
  <c r="I18" i="2"/>
  <c r="J18" i="2" s="1"/>
  <c r="J27" i="2"/>
  <c r="J28" i="2" s="1"/>
  <c r="F13" i="8"/>
  <c r="E13" i="8"/>
  <c r="H13" i="8"/>
  <c r="D13" i="8"/>
  <c r="G13" i="8"/>
  <c r="O19" i="2"/>
  <c r="Q18" i="2"/>
  <c r="D15" i="8"/>
  <c r="H15" i="8"/>
  <c r="G15" i="8"/>
  <c r="F15" i="8"/>
  <c r="E15" i="8"/>
  <c r="I13" i="8" l="1"/>
  <c r="G17" i="1"/>
  <c r="H17" i="1" s="1"/>
  <c r="I17" i="1" s="1"/>
  <c r="R18" i="2"/>
  <c r="I15" i="8"/>
  <c r="I16" i="1" l="1"/>
  <c r="I15" i="1" s="1"/>
  <c r="I60" i="1" l="1"/>
  <c r="J46" i="1" s="1"/>
  <c r="C9" i="8"/>
  <c r="C22" i="8" s="1"/>
  <c r="D11" i="8"/>
  <c r="G11" i="8"/>
  <c r="E11" i="8"/>
  <c r="H11" i="8"/>
  <c r="F11" i="8"/>
  <c r="J31" i="1"/>
  <c r="J53" i="1" l="1"/>
  <c r="J45" i="1"/>
  <c r="J51" i="1"/>
  <c r="J50" i="1" s="1"/>
  <c r="J19" i="1"/>
  <c r="J42" i="1"/>
  <c r="J47" i="1"/>
  <c r="J24" i="1"/>
  <c r="J23" i="1" s="1"/>
  <c r="J39" i="1"/>
  <c r="J32" i="1"/>
  <c r="J44" i="1"/>
  <c r="J26" i="1"/>
  <c r="I62" i="1"/>
  <c r="J34" i="1"/>
  <c r="J40" i="1"/>
  <c r="J54" i="1"/>
  <c r="J22" i="1"/>
  <c r="J21" i="1" s="1"/>
  <c r="J49" i="1"/>
  <c r="J37" i="1"/>
  <c r="J36" i="1"/>
  <c r="J33" i="1"/>
  <c r="J28" i="1"/>
  <c r="J38" i="1"/>
  <c r="J17" i="1"/>
  <c r="J16" i="1" s="1"/>
  <c r="J48" i="1"/>
  <c r="J41" i="1" s="1"/>
  <c r="J20" i="1"/>
  <c r="J27" i="1"/>
  <c r="J43" i="1"/>
  <c r="H9" i="8"/>
  <c r="H18" i="8" s="1"/>
  <c r="H17" i="8" s="1"/>
  <c r="E9" i="8"/>
  <c r="E18" i="8" s="1"/>
  <c r="E17" i="8" s="1"/>
  <c r="F9" i="8"/>
  <c r="F18" i="8" s="1"/>
  <c r="F17" i="8" s="1"/>
  <c r="F20" i="8" s="1"/>
  <c r="D9" i="8"/>
  <c r="D18" i="8" s="1"/>
  <c r="G9" i="8"/>
  <c r="G18" i="8" s="1"/>
  <c r="G17" i="8" s="1"/>
  <c r="I11" i="8"/>
  <c r="J25" i="1" l="1"/>
  <c r="J35" i="1"/>
  <c r="J18" i="1"/>
  <c r="J15" i="1" s="1"/>
  <c r="J30" i="1"/>
  <c r="J29" i="1" s="1"/>
  <c r="J52" i="1"/>
  <c r="I9" i="8"/>
  <c r="H20" i="8"/>
  <c r="H21" i="8" s="1"/>
  <c r="G20" i="8"/>
  <c r="G21" i="8" s="1"/>
  <c r="F21" i="8"/>
  <c r="E20" i="8"/>
  <c r="E21" i="8" s="1"/>
  <c r="I18" i="8"/>
  <c r="D17" i="8"/>
  <c r="D20" i="8" s="1"/>
  <c r="I20" i="8" l="1"/>
  <c r="I17" i="8"/>
  <c r="D21" i="8" l="1"/>
  <c r="I21" i="8"/>
  <c r="D22" i="8"/>
  <c r="E22" i="8" s="1"/>
  <c r="D23" i="8" l="1"/>
  <c r="F22" i="8" l="1"/>
  <c r="E23" i="8"/>
  <c r="G22" i="8" l="1"/>
  <c r="F23" i="8"/>
  <c r="G23" i="8" l="1"/>
  <c r="H22" i="8"/>
  <c r="I22" i="8" s="1"/>
  <c r="H23" i="8" l="1"/>
  <c r="I23" i="8" s="1"/>
</calcChain>
</file>

<file path=xl/sharedStrings.xml><?xml version="1.0" encoding="utf-8"?>
<sst xmlns="http://schemas.openxmlformats.org/spreadsheetml/2006/main" count="2390" uniqueCount="568">
  <si>
    <t>Item</t>
  </si>
  <si>
    <t>Código</t>
  </si>
  <si>
    <t>Banco</t>
  </si>
  <si>
    <t>Descrição</t>
  </si>
  <si>
    <t>Und</t>
  </si>
  <si>
    <t>Quant.</t>
  </si>
  <si>
    <t>Valor Unit</t>
  </si>
  <si>
    <t>Total</t>
  </si>
  <si>
    <t>SINAPI</t>
  </si>
  <si>
    <t>PLACA DE OBRA EM CHAPA DE ACO GALVANIZADO</t>
  </si>
  <si>
    <t>m²</t>
  </si>
  <si>
    <t>Próprio</t>
  </si>
  <si>
    <t>UN</t>
  </si>
  <si>
    <t>MES</t>
  </si>
  <si>
    <t>M</t>
  </si>
  <si>
    <t>m³</t>
  </si>
  <si>
    <t>ADMINISTRAÇÃO DA OBRA</t>
  </si>
  <si>
    <t>Tipo</t>
  </si>
  <si>
    <t>Composição</t>
  </si>
  <si>
    <t>CANT - CANTEIRO DE OBRAS</t>
  </si>
  <si>
    <t>Composição Auxiliar</t>
  </si>
  <si>
    <t xml:space="preserve"> 94962 </t>
  </si>
  <si>
    <t>CONCRETO MAGRO PARA LASTRO, TRAÇO 1:4,5:4,5 (CIMENTO/ AREIA MÉDIA/ BRITA 1)  - PREPARO MECÂNICO COM BETONEIRA 400 L. AF_07/2016</t>
  </si>
  <si>
    <t>FUES - FUNDAÇÕES E ESTRUTURAS</t>
  </si>
  <si>
    <t xml:space="preserve"> 88262 </t>
  </si>
  <si>
    <t>CARPINTEIRO DE FORMAS COM ENCARGOS COMPLEMENTARES</t>
  </si>
  <si>
    <t>SEDI - SERVIÇOS DIVERSOS</t>
  </si>
  <si>
    <t>H</t>
  </si>
  <si>
    <t xml:space="preserve"> 88316 </t>
  </si>
  <si>
    <t>SERVENTE COM ENCARGOS COMPLEMENTARES</t>
  </si>
  <si>
    <t>Insumo</t>
  </si>
  <si>
    <t xml:space="preserve"> 00004813 </t>
  </si>
  <si>
    <t>Material</t>
  </si>
  <si>
    <t xml:space="preserve"> 00004491 </t>
  </si>
  <si>
    <t xml:space="preserve"> 00005075 </t>
  </si>
  <si>
    <t>PREGO DE ACO POLIDO COM CABECA 18 X 30 (2 3/4 X 10)</t>
  </si>
  <si>
    <t>KG</t>
  </si>
  <si>
    <t xml:space="preserve"> 00004417 </t>
  </si>
  <si>
    <t>SARRAFO DE MADEIRA NAO APARELHADA *2,5 X 7* CM, MACARANDUBA, ANGELIM OU EQUIVALENTE DA REGIAO</t>
  </si>
  <si>
    <t>Valor com BDI =&gt;</t>
  </si>
  <si>
    <t>Quant. =&gt;</t>
  </si>
  <si>
    <t>Preço Total =&gt;</t>
  </si>
  <si>
    <t>Taxas</t>
  </si>
  <si>
    <t>Equipamento</t>
  </si>
  <si>
    <t>CHOR - CUSTOS HORÁRIOS DE MÁQUINAS E EQUIPAMENTOS</t>
  </si>
  <si>
    <t>CHP</t>
  </si>
  <si>
    <t>CHI</t>
  </si>
  <si>
    <t>AJUDANTE DE CARPINTEIRO COM ENCARGOS COMPLEMENTARES</t>
  </si>
  <si>
    <t>Serviços</t>
  </si>
  <si>
    <t>L</t>
  </si>
  <si>
    <t>Mão de Obra</t>
  </si>
  <si>
    <t>Outros</t>
  </si>
  <si>
    <t>CIMENTO PORTLAND COMPOSTO CP II-32</t>
  </si>
  <si>
    <t>EPI - FAMILIA SERVENTE - HORISTA (ENCARGOS COMPLEMENTARES - COLETADO CAIXA)</t>
  </si>
  <si>
    <t>AREIA MEDIA - POSTO JAZIDA/FORNECEDOR (RETIRADO NA JAZIDA, SEM TRANSPORTE)</t>
  </si>
  <si>
    <t>FERRAMENTAS - FAMILIA SERVENTE - HORISTA (ENCARGOS COMPLEMENTARES - COLETADO CAIXA)</t>
  </si>
  <si>
    <t>CARPINTEIRO DE FORMAS</t>
  </si>
  <si>
    <t>MONTADOR DE ESTRUTURAS METALICAS</t>
  </si>
  <si>
    <t>EPI - FAMILIA CARPINTEIRO DE FORMAS - HORISTA (ENCARGOS COMPLEMENTARES - COLETADO CAIXA)</t>
  </si>
  <si>
    <t>OPERADOR DE BETONEIRA ESTACIONARIA/MISTURADOR</t>
  </si>
  <si>
    <t>FERRAMENTAS - FAMILIA CARPINTEIRO DE FORMAS - HORISTA (ENCARGOS COMPLEMENTARES - COLETADO CAIXA)</t>
  </si>
  <si>
    <t>EPI - FAMILIA OPERADOR ESCAVADEIRA - HORISTA (ENCARGOS COMPLEMENTARES - COLETADO CAIXA)</t>
  </si>
  <si>
    <t>ENERGIA ELETRICA ATE 2000 KWH INDUSTRIAL, SEM DEMANDA</t>
  </si>
  <si>
    <t>KW/H</t>
  </si>
  <si>
    <t>BETONEIRA CAPACIDADE NOMINAL 400 L, CAPACIDADE DE MISTURA  280 L, MOTOR ELETRICO TRIFASICO 220/380 V POTENCIA 2 CV, SEM CARREGADOR</t>
  </si>
  <si>
    <t>FERRAMENTAS - FAMILIA OPERADOR ESCAVADEIRA - HORISTA (ENCARGOS COMPLEMENTARES - COLETADO CAIXA)</t>
  </si>
  <si>
    <t>PEDRA BRITADA N. 1 (9,5 a 19 MM) POSTO PEDREIRA/FORNECEDOR, SEM FRETE</t>
  </si>
  <si>
    <t>CURSO DE CAPACITAÇÃO PARA SERVENTE (ENCARGOS COMPLEMENTARES) - HORISTA</t>
  </si>
  <si>
    <t>CURSO DE CAPACITAÇÃO PARA OPERADOR DE BETONEIRA ESTACIONÁRIA/MISTURADOR (ENCARGOS COMPLEMENTARES) - HORISTA</t>
  </si>
  <si>
    <t>OPERADOR DE BETONEIRA ESTACIONÁRIA/MISTURADOR COM ENCARGOS COMPLEMENTARES</t>
  </si>
  <si>
    <t>MONTADOR DE ESTRUTURA METÁLICA COM ENCARGOS COMPLEMENTARES</t>
  </si>
  <si>
    <t>CURSO DE CAPACITAÇÃO PARA MONTADOR DE ESTRUTURA METÁLICA (ENCARGOS COMPLEMENTARES) - HORISTA</t>
  </si>
  <si>
    <t>CURSO DE CAPACITAÇÃO PARA CARPINTEIRO DE FÔRMAS (ENCARGOS COMPLEMENTARES) - HORISTA</t>
  </si>
  <si>
    <t>CURSO DE CAPACITAÇÃO PARA AJUDANTE DE CARPINTEIRO (ENCARGOS COMPLEMENTARES) - HORISTA</t>
  </si>
  <si>
    <t>BETONEIRA CAPACIDADE NOMINAL DE 400 L, CAPACIDADE DE MISTURA 280 L, MOTOR ELÉTRICO TRIFÁSICO POTÊNCIA DE 2 CV, SEM CARREGADOR - CHI DIURNO. AF_10/2014</t>
  </si>
  <si>
    <t>BETONEIRA CAPACIDADE NOMINAL DE 400 L, CAPACIDADE DE MISTURA 280 L, MOTOR ELÉTRICO TRIFÁSICO POTÊNCIA DE 2 CV, SEM CARREGADOR - CHP DIURNO. AF_10/2014</t>
  </si>
  <si>
    <t>BETONEIRA CAPACIDADE NOMINAL DE 400 L, CAPACIDADE DE MISTURA 280 L, MOTOR ELÉTRICO TRIFÁSICO POTÊNCIA DE 2 CV, SEM CARREGADOR - MATERIAIS NA OPERAÇÃO. AF_10/2014</t>
  </si>
  <si>
    <t>BETONEIRA CAPACIDADE NOMINAL DE 400 L, CAPACIDADE DE MISTURA 280 L, MOTOR ELÉTRICO TRIFÁSICO POTÊNCIA DE 2 CV, SEM CARREGADOR - MANUTENÇÃO. AF_10/2014</t>
  </si>
  <si>
    <t>BETONEIRA CAPACIDADE NOMINAL DE 400 L, CAPACIDADE DE MISTURA 280 L, MOTOR ELÉTRICO TRIFÁSICO POTÊNCIA DE 2 CV, SEM CARREGADOR - JUROS. AF_10/2014</t>
  </si>
  <si>
    <t>BETONEIRA CAPACIDADE NOMINAL DE 400 L, CAPACIDADE DE MISTURA 280 L, MOTOR ELÉTRICO TRIFÁSICO POTÊNCIA DE 2 CV, SEM CARREGADOR - DEPRECIAÇÃO. AF_10/2014</t>
  </si>
  <si>
    <t>MO</t>
  </si>
  <si>
    <t>MAT</t>
  </si>
  <si>
    <t>TOT</t>
  </si>
  <si>
    <t>CONT</t>
  </si>
  <si>
    <t>COD</t>
  </si>
  <si>
    <t>MO T</t>
  </si>
  <si>
    <t>MAT T</t>
  </si>
  <si>
    <t xml:space="preserve"> 00037370 </t>
  </si>
  <si>
    <t xml:space="preserve"> 00043483 </t>
  </si>
  <si>
    <t xml:space="preserve"> 00037372 </t>
  </si>
  <si>
    <t xml:space="preserve"> 00043459 </t>
  </si>
  <si>
    <t xml:space="preserve"> 00037373 </t>
  </si>
  <si>
    <t xml:space="preserve"> 00037371 </t>
  </si>
  <si>
    <t xml:space="preserve"> 88377 </t>
  </si>
  <si>
    <t xml:space="preserve"> 00000370 </t>
  </si>
  <si>
    <t xml:space="preserve"> 00001379 </t>
  </si>
  <si>
    <t xml:space="preserve"> 88830 </t>
  </si>
  <si>
    <t xml:space="preserve"> 88831 </t>
  </si>
  <si>
    <t xml:space="preserve"> 88826 </t>
  </si>
  <si>
    <t xml:space="preserve"> 88827 </t>
  </si>
  <si>
    <t xml:space="preserve"> 88828 </t>
  </si>
  <si>
    <t xml:space="preserve"> 88829 </t>
  </si>
  <si>
    <t xml:space="preserve"> 00010535 </t>
  </si>
  <si>
    <t xml:space="preserve"> 00002705 </t>
  </si>
  <si>
    <t xml:space="preserve"> 95330 </t>
  </si>
  <si>
    <t xml:space="preserve"> 00001213 </t>
  </si>
  <si>
    <t xml:space="preserve"> 00004721 </t>
  </si>
  <si>
    <t xml:space="preserve"> 95344 </t>
  </si>
  <si>
    <t xml:space="preserve"> 00025957 </t>
  </si>
  <si>
    <t xml:space="preserve"> 95389 </t>
  </si>
  <si>
    <t xml:space="preserve"> 00037666 </t>
  </si>
  <si>
    <t xml:space="preserve"> 95378 </t>
  </si>
  <si>
    <t xml:space="preserve"> 00006111 </t>
  </si>
  <si>
    <t xml:space="preserve"> 88278 </t>
  </si>
  <si>
    <t xml:space="preserve"> 00043488 </t>
  </si>
  <si>
    <t xml:space="preserve"> 00043464 </t>
  </si>
  <si>
    <t xml:space="preserve"> 00043491 </t>
  </si>
  <si>
    <t xml:space="preserve"> 00043467 </t>
  </si>
  <si>
    <t>BDI</t>
  </si>
  <si>
    <t>PROCURADORIA GERAL DA REPÚBLICA</t>
  </si>
  <si>
    <t>SECRETARIA DE ENGENHARIA E ARQUITETURA</t>
  </si>
  <si>
    <t>TAXAS: LEIS SOCIAIS E BDI</t>
  </si>
  <si>
    <t>LEIS SOCIAIS (LS) - SINAPI</t>
  </si>
  <si>
    <t>HORISTA (taxa já inclusa nos valores unitários de mão-de-obra)</t>
  </si>
  <si>
    <t>LS</t>
  </si>
  <si>
    <t>MENSALISTA (taxa já inclusa nos valores unitários de mão-de-obra)</t>
  </si>
  <si>
    <t>BONIFICAÇÃO DE DESPESAS INDIRETAS - BDI</t>
  </si>
  <si>
    <t>RISCOS</t>
  </si>
  <si>
    <t>R</t>
  </si>
  <si>
    <t>SEGUROS</t>
  </si>
  <si>
    <t>S</t>
  </si>
  <si>
    <t>GARANTIAS</t>
  </si>
  <si>
    <t>G</t>
  </si>
  <si>
    <t>DESPESAS FINANCEIRAS</t>
  </si>
  <si>
    <t>DF</t>
  </si>
  <si>
    <t>ADMINISTRAÇÃO CENTRAL</t>
  </si>
  <si>
    <t>AC</t>
  </si>
  <si>
    <t>LUCRO</t>
  </si>
  <si>
    <t>COFINS</t>
  </si>
  <si>
    <t>I</t>
  </si>
  <si>
    <t>PIS</t>
  </si>
  <si>
    <t>CPRB</t>
  </si>
  <si>
    <t>ISS</t>
  </si>
  <si>
    <t>Fórmula:</t>
  </si>
  <si>
    <r>
      <t xml:space="preserve">     BDI =  { [ </t>
    </r>
    <r>
      <rPr>
        <u/>
        <sz val="10"/>
        <rFont val="Arial"/>
        <family val="2"/>
      </rPr>
      <t>(1+(R+S+G+AC)).(1+DF).(1+L)</t>
    </r>
    <r>
      <rPr>
        <sz val="10"/>
        <color indexed="8"/>
        <rFont val="Arial"/>
        <family val="2"/>
      </rPr>
      <t xml:space="preserve"> ] -1 } x 100                                                                                                                                           1 - ( I )</t>
    </r>
  </si>
  <si>
    <t>ITEM</t>
  </si>
  <si>
    <t>DESCRIÇÃO</t>
  </si>
  <si>
    <t>VALOR</t>
  </si>
  <si>
    <t>mês 1</t>
  </si>
  <si>
    <t>mês 2</t>
  </si>
  <si>
    <t>mês 3</t>
  </si>
  <si>
    <t>mês 4</t>
  </si>
  <si>
    <t>mês 5</t>
  </si>
  <si>
    <t>TOTAL</t>
  </si>
  <si>
    <t>PARCIAL</t>
  </si>
  <si>
    <t>ACUMULADO</t>
  </si>
  <si>
    <t>CÓDIGO</t>
  </si>
  <si>
    <t>BANCO</t>
  </si>
  <si>
    <t>UND</t>
  </si>
  <si>
    <t>QUANT.</t>
  </si>
  <si>
    <t>VALOR UNIT</t>
  </si>
  <si>
    <t>VALOR UNIT COM BDI</t>
  </si>
  <si>
    <t>PESO (%)</t>
  </si>
  <si>
    <t>LEIS SOCIAIS DESONERADAS - REFERÊNCIA HORISTA SINAPI: LS</t>
  </si>
  <si>
    <t>BENEFÍCIOS E DESPESAS INDIRETAS: BDI</t>
  </si>
  <si>
    <t>INSTRUÇÕES PARA O PREENCHIMENTO DA PLANILHA</t>
  </si>
  <si>
    <t xml:space="preserve">A PLANILHA NÃO DEVE SER DESBLOQUEADA. </t>
  </si>
  <si>
    <t xml:space="preserve">TODAS AS CÉLULAS COM O FUNDO VERDE PODEM SER ALTERADAS. </t>
  </si>
  <si>
    <t>O CABEÇALHO ENCONTRA-SE DESBLOQUEADO PARA PERMITIR A TROCA DO LOGOTIPO .</t>
  </si>
  <si>
    <t>PARA O LICITANTE COMPOR A SUA PROPOSTA BASTA APLICAR O PERCENTUAL DE DESCONTO NO FINAL DA PLANILHA SINTÉTICA (CÉLULA VERDE). DESSA FORMA TODAS AS ABAS DA PLANILHA SÃO ATUALIZADAS AUTOMATICAMENTE.</t>
  </si>
  <si>
    <t>NA PLANILHA ANALÍTICA O LICITANTE PODE ALTERAR OS COEFICIENTES DE TODOS OS INSUMOS QUE FAZEM PARTE DAS COMPOSIÇÕES.</t>
  </si>
  <si>
    <t>PLANILHA ANALÍTICA</t>
  </si>
  <si>
    <t>TIPO</t>
  </si>
  <si>
    <t>PESO</t>
  </si>
  <si>
    <t>TOTAL GERAL ORIGINAL (c/ BDI):</t>
  </si>
  <si>
    <t>DESCONTO LINEAR DA EMPRESA (%)</t>
  </si>
  <si>
    <t>PROPOSTA DA EMPRESA (c/ BDI):</t>
  </si>
  <si>
    <t>DESCONTO EFETIVO DA PROPOSTA (%)*:</t>
  </si>
  <si>
    <t>* O DESCONTO EFETIVO LEVA EM CONSIDERAÇÃO AS ALTERAÇÕES MANUAIS NOS PREÇOS DOS INSUMOS E AS ALTERAÇÕES NOS COEFICIENTES DE PRODUTIVIDADE APRESENTADOS NA PLANILHA ANALÍTICA.</t>
  </si>
  <si>
    <t>CRONOGRAMA</t>
  </si>
  <si>
    <t>PLANILHA ANALÍTICA - COMPOSIÇÕES AUXILIARES (SEM BDI)</t>
  </si>
  <si>
    <t>LISTAGEM DE INSUMOS (VALOR UNITÁRIO SEM BDI)</t>
  </si>
  <si>
    <t>PLANILHA SINTÉTICA (COM BDI)</t>
  </si>
  <si>
    <t>VALOR UNIT SEM BDI</t>
  </si>
  <si>
    <t>TOTAL                  COM BDI</t>
  </si>
  <si>
    <t>VALOR  UNITÁRIO SEM BDI (EMPRESA)</t>
  </si>
  <si>
    <t>SEM BDI</t>
  </si>
  <si>
    <t>TOTAL SEM BDI</t>
  </si>
  <si>
    <t>OS VALORES DOS INSUMOS PODEM SER ALTERADOS DE FORMA INDIVIDUAL NA ABA "INSUMOS".</t>
  </si>
  <si>
    <t>VALOR  UNITÁRIO SEM BDI (ORIGINAL)</t>
  </si>
  <si>
    <t>ASTU - ASSENTAMENTO DE TUBOS E PECAS</t>
  </si>
  <si>
    <t xml:space="preserve"> 00002436 </t>
  </si>
  <si>
    <t>ELETRICISTA</t>
  </si>
  <si>
    <t xml:space="preserve"> 00000247 </t>
  </si>
  <si>
    <t>AJUDANTE DE ELETRICISTA</t>
  </si>
  <si>
    <t>1,0000000</t>
  </si>
  <si>
    <t xml:space="preserve"> 00034783 </t>
  </si>
  <si>
    <t>ENGENHEIRO ELETRICISTA</t>
  </si>
  <si>
    <t>2,0000000</t>
  </si>
  <si>
    <t>un</t>
  </si>
  <si>
    <t>7,0000000</t>
  </si>
  <si>
    <t xml:space="preserve"> 00043484 </t>
  </si>
  <si>
    <t>EPI - FAMILIA ELETRICISTA - HORISTA (ENCARGOS COMPLEMENTARES - COLETADO CAIXA)</t>
  </si>
  <si>
    <t>0,93</t>
  </si>
  <si>
    <t>0,35</t>
  </si>
  <si>
    <t xml:space="preserve"> 00043460 </t>
  </si>
  <si>
    <t>FERRAMENTAS - FAMILIA ELETRICISTA - HORISTA (ENCARGOS COMPLEMENTARES - COLETADO CAIXA)</t>
  </si>
  <si>
    <t>0,55</t>
  </si>
  <si>
    <t xml:space="preserve"> 00010776 </t>
  </si>
  <si>
    <t>LOCACAO DE CONTAINER 2,30  X  6,00 M, ALT. 2,50 M, PARA ESCRITORIO, SEM DIVISORIAS INTERNAS E SEM SANITARIO</t>
  </si>
  <si>
    <t>402,34</t>
  </si>
  <si>
    <t>1,02</t>
  </si>
  <si>
    <t>ORSE</t>
  </si>
  <si>
    <t>0,38</t>
  </si>
  <si>
    <t>52,0000000</t>
  </si>
  <si>
    <t>0,07</t>
  </si>
  <si>
    <t>0,05</t>
  </si>
  <si>
    <t xml:space="preserve"> 00034653 </t>
  </si>
  <si>
    <t>DISJUNTOR TIPO DIN/IEC, MONOPOLAR DE 6  ATE  32A</t>
  </si>
  <si>
    <t>59,0000000</t>
  </si>
  <si>
    <t>1,6000000</t>
  </si>
  <si>
    <t>8,0000000</t>
  </si>
  <si>
    <t>0,66</t>
  </si>
  <si>
    <t xml:space="preserve"> 00000995 </t>
  </si>
  <si>
    <t>CABO DE COBRE, FLEXIVEL, CLASSE 4 OU 5, ISOLACAO EM PVC/A, ANTICHAMA BWF-B, COBERTURA PVC-ST1, ANTICHAMA BWF-B, 1 CONDUTOR, 0,6/1 KV, SECAO NOMINAL 16 MM2</t>
  </si>
  <si>
    <t xml:space="preserve"> 00000857 </t>
  </si>
  <si>
    <t>CABO DE COBRE NU 16 MM2 MEIO-DURO</t>
  </si>
  <si>
    <t xml:space="preserve"> 00043486 </t>
  </si>
  <si>
    <t>EPI - FAMILIA ENGENHEIRO CIVIL - HORISTA (ENCARGOS COMPLEMENTARES - COLETADO CAIXA)</t>
  </si>
  <si>
    <t>0,57</t>
  </si>
  <si>
    <t>3,0000000</t>
  </si>
  <si>
    <t>208,0000000</t>
  </si>
  <si>
    <t xml:space="preserve"> 00025958 </t>
  </si>
  <si>
    <t>AJUDANTE DE ESTRUTURAS METALICAS</t>
  </si>
  <si>
    <t xml:space="preserve"> 00021127 </t>
  </si>
  <si>
    <t>FITA ISOLANTE ADESIVA ANTICHAMA, USO ATE 750 V, EM ROLO DE 19 MM X 5 M</t>
  </si>
  <si>
    <t>4,0000000</t>
  </si>
  <si>
    <t>6,4000000</t>
  </si>
  <si>
    <t>1,6126400</t>
  </si>
  <si>
    <t>cj</t>
  </si>
  <si>
    <t xml:space="preserve"> 00043493 </t>
  </si>
  <si>
    <t>EPI - FAMILIA TOPOGRAFO - HORISTA (ENCARGOS COMPLEMENTARES - COLETADO CAIXA)</t>
  </si>
  <si>
    <t>0,54</t>
  </si>
  <si>
    <t>4,43</t>
  </si>
  <si>
    <t>0,01</t>
  </si>
  <si>
    <t xml:space="preserve"> 00043462 </t>
  </si>
  <si>
    <t>FERRAMENTAS - FAMILIA ENGENHEIRO CIVIL - HORISTA (ENCARGOS COMPLEMENTARES - COLETADO CAIXA)</t>
  </si>
  <si>
    <t xml:space="preserve"> 00001575 </t>
  </si>
  <si>
    <t>TERMINAL A COMPRESSAO EM COBRE ESTANHADO PARA CABO 16 MM2, 1 FURO E 1 COMPRESSAO, PARA PARAFUSO DE FIXACAO M6</t>
  </si>
  <si>
    <t>0,1760000</t>
  </si>
  <si>
    <t xml:space="preserve"> 00043469 </t>
  </si>
  <si>
    <t>FERRAMENTAS - FAMILIA TOPOGRAFO - HORISTA (ENCARGOS COMPLEMENTARES - COLETADO CAIXA)</t>
  </si>
  <si>
    <t>1,08</t>
  </si>
  <si>
    <t>0,19</t>
  </si>
  <si>
    <t>12,00</t>
  </si>
  <si>
    <t>15,60</t>
  </si>
  <si>
    <t>0,34</t>
  </si>
  <si>
    <t>0,0238150</t>
  </si>
  <si>
    <t>0,0152000</t>
  </si>
  <si>
    <t>0,0000026</t>
  </si>
  <si>
    <t xml:space="preserve"> 88240 </t>
  </si>
  <si>
    <t>AJUDANTE DE ESTRUTURA METÁLICA COM ENCARGOS COMPLEMENTARES</t>
  </si>
  <si>
    <t xml:space="preserve"> 95310 </t>
  </si>
  <si>
    <t>CURSO DE CAPACITAÇÃO PARA AJUDANTE DE ESTRUTURA METÁLICA (ENCARGOS COMPLEMENTARES) - HORISTA</t>
  </si>
  <si>
    <t xml:space="preserve"> 88247 </t>
  </si>
  <si>
    <t>AUXILIAR DE ELETRICISTA COM ENCARGOS COMPLEMENTARES</t>
  </si>
  <si>
    <t xml:space="preserve"> 95316 </t>
  </si>
  <si>
    <t>CURSO DE CAPACITAÇÃO PARA AUXILIAR DE ELETRICISTA (ENCARGOS COMPLEMENTARES) - HORISTA</t>
  </si>
  <si>
    <t>INEL - INSTALAÇÃO ELÉTRICA/ELETRIFICAÇÃO E ILUMINAÇÃO EXTERNA</t>
  </si>
  <si>
    <t xml:space="preserve"> 88264 </t>
  </si>
  <si>
    <t>ELETRICISTA COM ENCARGOS COMPLEMENTARES</t>
  </si>
  <si>
    <t xml:space="preserve"> 95332 </t>
  </si>
  <si>
    <t>CURSO DE CAPACITAÇÃO PARA ELETRICISTA (ENCARGOS COMPLEMENTARES) - HORISTA</t>
  </si>
  <si>
    <t xml:space="preserve"> 95407 </t>
  </si>
  <si>
    <t>CURSO DE CAPACITAÇÃO PARA ENGENHEIRO ELETRICISTA (ENCARGOS COMPLEMENTARES) - HORISTA</t>
  </si>
  <si>
    <t xml:space="preserve"> 91677 </t>
  </si>
  <si>
    <t>ENGENHEIRO ELETRICISTA COM ENCARGOS COMPLEMENTARES</t>
  </si>
  <si>
    <t>SERVIÇOS PRELIMINARES</t>
  </si>
  <si>
    <t>INSTALAÇÕES ELÉTRICAS</t>
  </si>
  <si>
    <t xml:space="preserve"> 92982 </t>
  </si>
  <si>
    <t>CABO DE COBRE FLEXÍVEL ISOLADO, 16 MM², ANTI-CHAMA 0,6/1,0 KV, PARA DISTRIBUIÇÃO - FORNECIMENTO E INSTALAÇÃO. AF_12/2015</t>
  </si>
  <si>
    <t>INFRAESTRUTURA</t>
  </si>
  <si>
    <t xml:space="preserve"> 00002438 </t>
  </si>
  <si>
    <t>ELETROTECNICO</t>
  </si>
  <si>
    <t xml:space="preserve"> 95334 </t>
  </si>
  <si>
    <t>CURSO DE CAPACITAÇÃO PARA ELETROTÉCNICO (ENCARGOS COMPLEMENTARES) - HORISTA</t>
  </si>
  <si>
    <t xml:space="preserve"> 88266 </t>
  </si>
  <si>
    <t>ELETROTÉCNICO COM ENCARGOS COMPLEMENTARES</t>
  </si>
  <si>
    <t>BONIFICAÇÃO DE DESPESAS INDIRETAS - BDI (EQUIPAMENTOS)</t>
  </si>
  <si>
    <t xml:space="preserve"> INSUMO-SOLAR-001 </t>
  </si>
  <si>
    <t>MÓDULO FOTOVOLTAICO 330 W / 72 OU 144 CÉLULAS / POLICRISTALINO</t>
  </si>
  <si>
    <t>UNIDADE</t>
  </si>
  <si>
    <t xml:space="preserve"> INSUMO-SOLAR-009 </t>
  </si>
  <si>
    <t>INVERSOR TRIFÁSICO SOLAR DE 30 kW</t>
  </si>
  <si>
    <t xml:space="preserve"> INSUMO-SOLAR-008 </t>
  </si>
  <si>
    <t>ESTRUTURA PARA 4 MÓDULOS FOTOVOLTAICOS PARA INSTALAÇÃO EM TELHA TRAPEZOIDAL</t>
  </si>
  <si>
    <t xml:space="preserve"> INSUMO-SOLAR-011 </t>
  </si>
  <si>
    <t>CABO SOLAR 4 mm²</t>
  </si>
  <si>
    <t>METRO</t>
  </si>
  <si>
    <t>1.389,9200000</t>
  </si>
  <si>
    <t>65,5040000</t>
  </si>
  <si>
    <t xml:space="preserve"> INSUMO-SOLAR-010 </t>
  </si>
  <si>
    <t>STRING-BOX 2 ENTRADAS E 2 SAÍDAS COM DPS E SECCIONADORA</t>
  </si>
  <si>
    <t>344,7031013</t>
  </si>
  <si>
    <t>245,1120000</t>
  </si>
  <si>
    <t xml:space="preserve"> 00000868 </t>
  </si>
  <si>
    <t>CABO DE COBRE NU 25 MM2 MEIO-DURO</t>
  </si>
  <si>
    <t>188,7000000</t>
  </si>
  <si>
    <t>ALIMENTACAO - HORISTA (COLETADO CAIXA)</t>
  </si>
  <si>
    <t>1.020,9935200</t>
  </si>
  <si>
    <t xml:space="preserve"> 00002596 </t>
  </si>
  <si>
    <t>CONDULETE DE ALUMINIO TIPO X, PARA ELETRODUTO ROSCAVEL DE 2", COM TAMPA CEGA</t>
  </si>
  <si>
    <t>50,0000000</t>
  </si>
  <si>
    <t>249,6000000</t>
  </si>
  <si>
    <t xml:space="preserve"> 00000996 </t>
  </si>
  <si>
    <t>CABO DE COBRE, FLEXIVEL, CLASSE 4 OU 5, ISOLACAO EM PVC/A, ANTICHAMA BWF-B, COBERTURA PVC-ST1, ANTICHAMA BWF-B, 1 CONDUTOR, 0,6/1 KV, SECAO NOMINAL 25 MM2</t>
  </si>
  <si>
    <t>101,5000000</t>
  </si>
  <si>
    <t xml:space="preserve"> 00010777 </t>
  </si>
  <si>
    <t>LOCACAO DE CONTAINER 2,30 X 4,30 M, ALT. 2,50 M, PARA SANITARIO, COM 3 BACIAS, 4 CHUVEIROS, 1 LAVATORIO E 1 MICTORIO</t>
  </si>
  <si>
    <t xml:space="preserve"> 00012041 </t>
  </si>
  <si>
    <t>QUADRO DE DISTRIBUICAO COM BARRAMENTO TRIFASICO, DE EMBUTIR, EM CHAPA DE ACO GALVANIZADO, PARA 30 DISJUNTORES DIN, 150 A</t>
  </si>
  <si>
    <t xml:space="preserve"> INSUMO-SOLAR-012 </t>
  </si>
  <si>
    <t>CONECTOR MC4</t>
  </si>
  <si>
    <t>64,0000000</t>
  </si>
  <si>
    <t>TRANSPORTE - HORISTA (COLETADO CAIXA)</t>
  </si>
  <si>
    <t>912,1324000</t>
  </si>
  <si>
    <t xml:space="preserve"> 00002583 </t>
  </si>
  <si>
    <t>CONDULETE DE ALUMINIO TIPO X, PARA ELETRODUTO ROSCAVEL DE 3", COM TAMPA CEGA</t>
  </si>
  <si>
    <t>52,4108000</t>
  </si>
  <si>
    <t xml:space="preserve"> 00001585 </t>
  </si>
  <si>
    <t>TERMINAL METALICO A PRESSAO PARA 1 CABO DE 16 MM2, COM 1 FURO DE FIXACAO</t>
  </si>
  <si>
    <t>PLACA DE OBRA (PARA CONSTRUCAO CIVIL) EM CHAPA GALVANIZADA *N. 22*, ADESIVADA, DE *2,0 X 1,125* M</t>
  </si>
  <si>
    <t xml:space="preserve"> 00001018 </t>
  </si>
  <si>
    <t>CABO DE COBRE, FLEXIVEL, CLASSE 4 OU 5, ISOLACAO EM PVC/A, ANTICHAMA BWF-B, COBERTURA PVC-ST1, ANTICHAMA BWF-B, 1 CONDUTOR, 0,6/1 KV, SECAO NOMINAL 50 MM2</t>
  </si>
  <si>
    <t>16,2400000</t>
  </si>
  <si>
    <t xml:space="preserve"> 00007572 </t>
  </si>
  <si>
    <t>SUPORTE ISOLADOR REFORCADO DIAMETRO NOMINAL 5/16", COM ROSCA SOBERBA E BUCHA</t>
  </si>
  <si>
    <t>46,0000000</t>
  </si>
  <si>
    <t>EXAMES - HORISTA (COLETADO CAIXA)</t>
  </si>
  <si>
    <t>1.100,9935200</t>
  </si>
  <si>
    <t xml:space="preserve"> 00001539 </t>
  </si>
  <si>
    <t>CONECTOR METALICO TIPO PARAFUSO FENDIDO (SPLIT BOLT), PARA CABOS ATE 16 MM2</t>
  </si>
  <si>
    <t>72,0000000</t>
  </si>
  <si>
    <t xml:space="preserve"> 00039471 </t>
  </si>
  <si>
    <t>DISPOSITIVO DPS CLASSE II, 1 POLO, TENSAO MAXIMA DE 275 V, CORRENTE MAXIMA DE *45* KA (TIPO AC)</t>
  </si>
  <si>
    <t xml:space="preserve"> 00002358 </t>
  </si>
  <si>
    <t>DESENHISTA PROJETISTA</t>
  </si>
  <si>
    <t>16,0560000</t>
  </si>
  <si>
    <t xml:space="preserve"> 00002643 </t>
  </si>
  <si>
    <t>LUVA PARA ELETRODUTO, EM ACO GALVANIZADO ELETROLITICO, DIAMETRO DE 50 MM (2")</t>
  </si>
  <si>
    <t>35,3298000</t>
  </si>
  <si>
    <t xml:space="preserve"> 00002391 </t>
  </si>
  <si>
    <t>DISJUNTOR TERMOMAGNETICO TRIPOLAR 125A</t>
  </si>
  <si>
    <t>24,6480000</t>
  </si>
  <si>
    <t xml:space="preserve"> 00034576 </t>
  </si>
  <si>
    <t>BLOCO CONCRETO ESTRUTURAL 19 X 19 X 39 CM, FBK 10 MPA (NBR 6136)</t>
  </si>
  <si>
    <t>4,63</t>
  </si>
  <si>
    <t xml:space="preserve"> 00034714 </t>
  </si>
  <si>
    <t>DISJUNTOR TIPO DIN/IEC, TRIPOLAR 63 A</t>
  </si>
  <si>
    <t xml:space="preserve"> 12431 </t>
  </si>
  <si>
    <t>Arruela lisa em aço inox 1/4"</t>
  </si>
  <si>
    <t>416,0000000</t>
  </si>
  <si>
    <t xml:space="preserve"> 12428 </t>
  </si>
  <si>
    <t>Parafuso em aço inox, cabeça sextavada 1/4" x 1 1/4"</t>
  </si>
  <si>
    <t xml:space="preserve"> 00039132 </t>
  </si>
  <si>
    <t>ABRACADEIRA EM ACO PARA AMARRACAO DE ELETRODUTOS, TIPO D, COM 2" E CUNHA DE FIXACAO</t>
  </si>
  <si>
    <t>53,0000000</t>
  </si>
  <si>
    <t>SEGURO - HORISTA (COLETADO CAIXA)</t>
  </si>
  <si>
    <t>104,0236800</t>
  </si>
  <si>
    <t xml:space="preserve"> 00002642 </t>
  </si>
  <si>
    <t>LUVA PARA ELETRODUTO, EM ACO GALVANIZADO ELETROLITICO, DIAMETRO DE 80 MM (3")</t>
  </si>
  <si>
    <t>3,9996000</t>
  </si>
  <si>
    <t xml:space="preserve"> 00010432 </t>
  </si>
  <si>
    <t>MICTORIO SIFONADO LOUCA BRANCA SEM COMPLEMENTOS</t>
  </si>
  <si>
    <t>0,2000000</t>
  </si>
  <si>
    <t xml:space="preserve"> 00001588 </t>
  </si>
  <si>
    <t>TERMINAL METALICO A PRESSAO PARA 1 CABO DE 50 MM2, COM 1 FURO DE FIXACAO</t>
  </si>
  <si>
    <t xml:space="preserve"> 00010420 </t>
  </si>
  <si>
    <t>BACIA SANITARIA (VASO) CONVENCIONAL DE LOUCA BRANCA</t>
  </si>
  <si>
    <t>0,4000000</t>
  </si>
  <si>
    <t>SERVENTE DE OBRAS</t>
  </si>
  <si>
    <t>3,2847066</t>
  </si>
  <si>
    <t>PONTALETE DE MADEIRA NAO APARELHADA *7,5 X 7,5* CM (3 X 3 ") PINUS, MISTA OU EQUIVALENTE DA REGIAO</t>
  </si>
  <si>
    <t xml:space="preserve"> 00001576 </t>
  </si>
  <si>
    <t>TERMINAL A COMPRESSAO EM COBRE ESTANHADO PARA CABO 25 MM2, 1 FURO E 1 COMPRESSAO, PARA PARAFUSO DE FIXACAO M8</t>
  </si>
  <si>
    <t>19,0000000</t>
  </si>
  <si>
    <t xml:space="preserve"> 11051 </t>
  </si>
  <si>
    <t>Porca em aço inox sextavada 1/4"</t>
  </si>
  <si>
    <t xml:space="preserve"> 00039134 </t>
  </si>
  <si>
    <t>ABRACADEIRA EM ACO PARA AMARRACAO DE ELETRODUTOS, TIPO D, COM 3" E CUNHA DE FIXACAO</t>
  </si>
  <si>
    <t>6,0000000</t>
  </si>
  <si>
    <t xml:space="preserve"> 00004356 </t>
  </si>
  <si>
    <t>PARAFUSO DE ACO ZINCADO COM ROSCA SOBERBA, CABECA CHATA E FENDA SIMPLES, DIAMETRO 4,8 MM, COMPRIMENTO 45 MM</t>
  </si>
  <si>
    <t>92,0000000</t>
  </si>
  <si>
    <t xml:space="preserve"> 00010425 </t>
  </si>
  <si>
    <t>LAVATORIO LOUCA BRANCA SUSPENSO *40 X 30* CM</t>
  </si>
  <si>
    <t>16,0000000</t>
  </si>
  <si>
    <t xml:space="preserve"> 1689 </t>
  </si>
  <si>
    <t>Parafuso de fixação com bucha plástica 8 mm</t>
  </si>
  <si>
    <t>1,2840000</t>
  </si>
  <si>
    <t xml:space="preserve"> 00007608 </t>
  </si>
  <si>
    <t>CHUVEIRO PLASTICO BRANCO SIMPLES 5 '' PARA ACOPLAR EM HASTE 1/2 ", AGUA FRIA</t>
  </si>
  <si>
    <t>0,8000000</t>
  </si>
  <si>
    <t>3,2374400</t>
  </si>
  <si>
    <t>3,3923200</t>
  </si>
  <si>
    <t>0,0132320</t>
  </si>
  <si>
    <t>0,0092480</t>
  </si>
  <si>
    <t xml:space="preserve"> 95400 </t>
  </si>
  <si>
    <t>CURSO DE CAPACITAÇÃO PARA DESENHISTA PROJETISTA (ENCARGOS COMPLEMENTARES) - HORISTA</t>
  </si>
  <si>
    <t xml:space="preserve"> 90775 </t>
  </si>
  <si>
    <t>DESENHISTA PROJETISTA COM ENCARGOS COMPLEMENTARES</t>
  </si>
  <si>
    <t>BENEFÍCIOS E DESPESAS INDIRETAS: BDI (EQUIPAMENTOS)</t>
  </si>
  <si>
    <t>REFERÊNCIA: SINAPI - PA - OUTUBRO/19 (NÃO DESONERADA)</t>
  </si>
  <si>
    <t xml:space="preserve"> 01 </t>
  </si>
  <si>
    <t xml:space="preserve"> 01.01 </t>
  </si>
  <si>
    <t>PLACA DE OBRA</t>
  </si>
  <si>
    <t xml:space="preserve"> 01.01.01 </t>
  </si>
  <si>
    <t xml:space="preserve"> 74209/001 </t>
  </si>
  <si>
    <t xml:space="preserve"> 01.02 </t>
  </si>
  <si>
    <t>CANTEIRO DE OBRA</t>
  </si>
  <si>
    <t xml:space="preserve"> 01.02.01 </t>
  </si>
  <si>
    <t xml:space="preserve"> 73847/001 </t>
  </si>
  <si>
    <t>ALUGUEL CONTAINER/ESCRIT INCL INST ELET LARG=2,20 COMP=6,20M          ALT=2,50M CHAPA ACO C/NERV TRAPEZ FORRO C/ISOL TERMO/ACUSTICO         CHASSIS REFORC PISO COMPENS NAVAL EXC TRANSP/CARGA/DESCARGA</t>
  </si>
  <si>
    <t xml:space="preserve"> 01.02.02 </t>
  </si>
  <si>
    <t xml:space="preserve"> 73847/003 </t>
  </si>
  <si>
    <t>ALUGUEL CONTAINER/SANIT C/2 VASOS/1 LAVAT/1 MIC/4 CHUV LARG=          2,20M COMPR=6,20M ALT=2,50M CHAPA ACO C/NERV TRAPEZ FORRO C/          ISOLAM TERMO/ACUSTICO CHASSIS REFORC PISO COMPENS NAVAL INCL          INST ELETR/HIDR EXCL TRANSP/CARGA/DESCARG</t>
  </si>
  <si>
    <t xml:space="preserve"> 01.03 </t>
  </si>
  <si>
    <t>APROVAÇÃO DE PROJETO NA CONCESSIONÁRIA</t>
  </si>
  <si>
    <t xml:space="preserve"> 01.03.01 </t>
  </si>
  <si>
    <t xml:space="preserve"> SOLAR-030 </t>
  </si>
  <si>
    <t>ELABORAÇÃO E APROVAÇÃO DE PROJETO DE MICROGERAÇÃO DISTRIBUÍDA NA CONCESSIONÁRIA LOCAL DE ENERGIA ELÉTRICA</t>
  </si>
  <si>
    <t xml:space="preserve"> 02 </t>
  </si>
  <si>
    <t>ESTRUTURA DE FIXAÇÃO DOS MÓDULOS</t>
  </si>
  <si>
    <t xml:space="preserve"> 02.01 </t>
  </si>
  <si>
    <t xml:space="preserve"> SOLAR-017 </t>
  </si>
  <si>
    <t>ESTRUTURA PARA 4 MÓDULOS FOTOVOLTAICOS PARA INSTALAÇÃO EM TELHA TRAPEZOIDAL - FORNECIMENTO E INSTALAÇÃO</t>
  </si>
  <si>
    <t xml:space="preserve"> 03 </t>
  </si>
  <si>
    <t>EQUIPAMENTOS</t>
  </si>
  <si>
    <t xml:space="preserve"> 03.01 </t>
  </si>
  <si>
    <t xml:space="preserve"> SOLAR-001 </t>
  </si>
  <si>
    <t>MÓDULO FOTOVOLTAICO 330 W / 72 OU 144 CÉLULAS / POLICRISTALINO - FORNECIMENTO E INSTALAÇÃO</t>
  </si>
  <si>
    <t xml:space="preserve"> 03.02 </t>
  </si>
  <si>
    <t xml:space="preserve"> SOLAR-018 </t>
  </si>
  <si>
    <t>INVERSOR TRIFÁSICO SOLAR DE 30 kW - FORNECIMENTO E INSTALAÇÃO.</t>
  </si>
  <si>
    <t xml:space="preserve"> 03.03 </t>
  </si>
  <si>
    <t xml:space="preserve"> SOLAR-019 </t>
  </si>
  <si>
    <t>STRING-BOX 2 ENTRADAS E 2 SAÍDAS COM DPS E SECCIONADORA - FORNECIMENTO E INSTALAÇÃO.</t>
  </si>
  <si>
    <t xml:space="preserve"> 04 </t>
  </si>
  <si>
    <t xml:space="preserve"> 04.01 </t>
  </si>
  <si>
    <t xml:space="preserve"> 04.01.01 </t>
  </si>
  <si>
    <t xml:space="preserve"> SOLAR-021 </t>
  </si>
  <si>
    <t>ELETRODUTO DE AÇO GALVANIZADO INSTALADO EM PISO (COM APOIO) - FORNECIMENTO E INSTALAÇÃO.</t>
  </si>
  <si>
    <t xml:space="preserve"> 04.01.02 </t>
  </si>
  <si>
    <t xml:space="preserve"> SOLAR-025 </t>
  </si>
  <si>
    <t>CONDULETE DE ALUMÍNIO PARA ELETRODUTO 2" COM TAMPA CEGA - FORNECIMENTO E INSTALAÇÃO</t>
  </si>
  <si>
    <t xml:space="preserve"> 04.01.03 </t>
  </si>
  <si>
    <t xml:space="preserve"> SOLAR-024 </t>
  </si>
  <si>
    <t>ELETRODUTO DE AÇO GALVANIZADO 3" INSTALADO EM PISO (COM APOIO) - FORNECIMENTO E INSTALAÇÃO</t>
  </si>
  <si>
    <t xml:space="preserve"> 04.01.04 </t>
  </si>
  <si>
    <t xml:space="preserve"> SOLAR-026 </t>
  </si>
  <si>
    <t>CONDULETE DE ALUMÍNIO PARA ELETRODUTO 3" COM TAMPA CEGA - FORNECIMENTO E INSTALAÇÃO</t>
  </si>
  <si>
    <t xml:space="preserve"> 04.02 </t>
  </si>
  <si>
    <t>ATERRAMENTO</t>
  </si>
  <si>
    <t xml:space="preserve"> 04.02.01 </t>
  </si>
  <si>
    <t xml:space="preserve"> 72252 </t>
  </si>
  <si>
    <t>CABO DE COBRE NU 25MM2 - FORNECIMENTO E INSTALACAO</t>
  </si>
  <si>
    <t xml:space="preserve"> 04.02.02 </t>
  </si>
  <si>
    <t xml:space="preserve"> SOLAR-023 </t>
  </si>
  <si>
    <t>CHICOTE COM TERMINAL DE PRESSÃO PARA ATERRAMENTO DE MÓDULO FOTOVOLTAICO - FORNECIMENTO E INSTALAÇÃO</t>
  </si>
  <si>
    <t xml:space="preserve"> 04.02.03 </t>
  </si>
  <si>
    <t xml:space="preserve"> SOLAR-028 </t>
  </si>
  <si>
    <t>TERMINAL OU CONECTOR DE PRESSAO - PARA CABO 25MM2 - FORNECIMENTO E INSTALACAO</t>
  </si>
  <si>
    <t xml:space="preserve"> 04.02.04 </t>
  </si>
  <si>
    <t xml:space="preserve"> 72271 </t>
  </si>
  <si>
    <t>CONECTOR PARAFUSO FENDIDO SPLIT-BOLT - PARA CABO DE 16MM2 - FORNECIMENTO E INSTALACAO</t>
  </si>
  <si>
    <t xml:space="preserve"> 98463 </t>
  </si>
  <si>
    <t>SUPORTE ISOLADOR PARA CORDOALHA DE COBRE - FORNECIMENTO E INSTALAÇÃO. AF_12/2017</t>
  </si>
  <si>
    <t xml:space="preserve"> 04.03 </t>
  </si>
  <si>
    <t>CABEAMENTO</t>
  </si>
  <si>
    <t xml:space="preserve"> 04.03.01 </t>
  </si>
  <si>
    <t xml:space="preserve"> SOLAR-022 </t>
  </si>
  <si>
    <t>CABO SOLAR 4 mm² - FORNECIMENTO E INSTALAÇÃO</t>
  </si>
  <si>
    <t xml:space="preserve"> 04.03.02 </t>
  </si>
  <si>
    <t xml:space="preserve"> SOLAR-027 </t>
  </si>
  <si>
    <t>CONECTOR MC4 - FORNECIMENTO E INSTALAÇÃO</t>
  </si>
  <si>
    <t xml:space="preserve"> 04.03.03 </t>
  </si>
  <si>
    <t xml:space="preserve"> 92988 </t>
  </si>
  <si>
    <t>CABO DE COBRE FLEXÍVEL ISOLADO, 50 MM², ANTI-CHAMA 0,6/1,0 KV, PARA DISTRIBUIÇÃO - FORNECIMENTO E INSTALAÇÃO. AF_12/2015</t>
  </si>
  <si>
    <t xml:space="preserve"> 04.03.04 </t>
  </si>
  <si>
    <t xml:space="preserve"> 72263 </t>
  </si>
  <si>
    <t>TERMINAL OU CONECTOR DE PRESSAO - PARA CABO 50MM2 - FORNECIMENTO E INSTALACAO</t>
  </si>
  <si>
    <t xml:space="preserve"> 04.03.05 </t>
  </si>
  <si>
    <t xml:space="preserve"> 92984 </t>
  </si>
  <si>
    <t>CABO DE COBRE FLEXÍVEL ISOLADO, 25 MM², ANTI-CHAMA 0,6/1,0 KV, PARA DISTRIBUIÇÃO - FORNECIMENTO E INSTALAÇÃO. AF_12/2015</t>
  </si>
  <si>
    <t xml:space="preserve"> 04.03.06 </t>
  </si>
  <si>
    <t xml:space="preserve"> 04.03.07 </t>
  </si>
  <si>
    <t xml:space="preserve"> 04.03.08 </t>
  </si>
  <si>
    <t xml:space="preserve"> SOLAR-029 </t>
  </si>
  <si>
    <t>TERMINAL OU CONECTOR DE PRESSAO - PARA CABO 16MM2 - FORNECIMENTO E INSTALACAO</t>
  </si>
  <si>
    <t xml:space="preserve"> 04.04 </t>
  </si>
  <si>
    <t>QUADRO ELÉTRICO</t>
  </si>
  <si>
    <t xml:space="preserve"> 04.04.01 </t>
  </si>
  <si>
    <t xml:space="preserve"> SOLAR-020 </t>
  </si>
  <si>
    <t>QUADRO DE CONEXÃO DOS INVERSORES - FORNECIMENTO E INSTALAÇÃO.</t>
  </si>
  <si>
    <t xml:space="preserve"> 05 </t>
  </si>
  <si>
    <t xml:space="preserve"> 05.01 </t>
  </si>
  <si>
    <t xml:space="preserve"> 05.02 </t>
  </si>
  <si>
    <t>699,00</t>
  </si>
  <si>
    <t>27.500,00</t>
  </si>
  <si>
    <t>428,00</t>
  </si>
  <si>
    <t>7,90</t>
  </si>
  <si>
    <t>122,47</t>
  </si>
  <si>
    <t>899,00</t>
  </si>
  <si>
    <t>15,13</t>
  </si>
  <si>
    <t>17,43</t>
  </si>
  <si>
    <t>10,64</t>
  </si>
  <si>
    <t>13,20</t>
  </si>
  <si>
    <t>2,18</t>
  </si>
  <si>
    <t>43,07</t>
  </si>
  <si>
    <t>8,55</t>
  </si>
  <si>
    <t>14,04</t>
  </si>
  <si>
    <t>584,73</t>
  </si>
  <si>
    <t>983,37</t>
  </si>
  <si>
    <t>14,80</t>
  </si>
  <si>
    <t>0,92</t>
  </si>
  <si>
    <t>104,77</t>
  </si>
  <si>
    <t>12,68</t>
  </si>
  <si>
    <t>3,09</t>
  </si>
  <si>
    <t>400,00</t>
  </si>
  <si>
    <t>9,43</t>
  </si>
  <si>
    <t>27,59</t>
  </si>
  <si>
    <t>70,66</t>
  </si>
  <si>
    <t>16,11</t>
  </si>
  <si>
    <t>7,02</t>
  </si>
  <si>
    <t>235,14</t>
  </si>
  <si>
    <t>9,22</t>
  </si>
  <si>
    <t>3,79</t>
  </si>
  <si>
    <t>51,48</t>
  </si>
  <si>
    <t>0,28</t>
  </si>
  <si>
    <t>0,52</t>
  </si>
  <si>
    <t>1,96</t>
  </si>
  <si>
    <t>227,31</t>
  </si>
  <si>
    <t>5,46</t>
  </si>
  <si>
    <t>99,99</t>
  </si>
  <si>
    <t>10,95</t>
  </si>
  <si>
    <t>5,23</t>
  </si>
  <si>
    <t>1,58</t>
  </si>
  <si>
    <t>0,14</t>
  </si>
  <si>
    <t>3,27</t>
  </si>
  <si>
    <t>6,13</t>
  </si>
  <si>
    <t>65,25</t>
  </si>
  <si>
    <t>1,14</t>
  </si>
  <si>
    <t>0,74</t>
  </si>
  <si>
    <t>2,79</t>
  </si>
  <si>
    <t>4,35</t>
  </si>
  <si>
    <t>0,73</t>
  </si>
  <si>
    <t>9,56</t>
  </si>
  <si>
    <t>59,00</t>
  </si>
  <si>
    <t>49,99</t>
  </si>
  <si>
    <t>1,00</t>
  </si>
  <si>
    <t>4.300,00</t>
  </si>
  <si>
    <t xml:space="preserve"> 04.02.05 </t>
  </si>
  <si>
    <t>OBRA: INSTALAÇÃO DE MICROGERAÇÃO DISTRIBUIDA NA PRM-SANTAREM / PA / MPF</t>
  </si>
  <si>
    <t>01</t>
  </si>
  <si>
    <t>02</t>
  </si>
  <si>
    <t>03</t>
  </si>
  <si>
    <t>04</t>
  </si>
  <si>
    <t>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</si>
</sst>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9">
    <numFmt numFmtId="44" formatCode="_-&quot;R$&quot;\ * #,##0.00_-;\-&quot;R$&quot;\ * #,##0.00_-;_-&quot;R$&quot;\ * &quot;-&quot;??_-;_-@_-"/>
    <numFmt numFmtId="43" formatCode="_-* #,##0.00_-;\-* #,##0.00_-;_-* &quot;-&quot;??_-;_-@_-"/>
    <numFmt numFmtId="164" formatCode="#,##0.0000000"/>
    <numFmt numFmtId="165" formatCode="_-* #,##0_-;\-* #,##0_-;_-* &quot;-&quot;??_-;_-@_-"/>
    <numFmt numFmtId="166" formatCode="0.000000"/>
    <numFmt numFmtId="167" formatCode="0.0%"/>
    <numFmt numFmtId="168" formatCode="mm/yy"/>
    <numFmt numFmtId="169" formatCode="_(&quot;R$ &quot;* #,##0.00_);_(&quot;R$ &quot;* \(#,##0.00\);_(&quot;R$ &quot;* \-??_);_(@_)"/>
    <numFmt numFmtId="170" formatCode="#,##0.00\ %"/>
  </numFmts>
  <fonts count="31" x14ac:knownFonts="1">
    <font>
      <sz val="11"/>
      <name val="Arial"/>
      <family val="1"/>
    </font>
    <font>
      <sz val="11"/>
      <color theme="1"/>
      <name val="Calibri"/>
      <family val="2"/>
      <scheme val="minor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1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color rgb="FF000000"/>
      <name val="Arial"/>
      <family val="1"/>
    </font>
    <font>
      <b/>
      <sz val="10"/>
      <name val="Arial"/>
      <family val="1"/>
    </font>
    <font>
      <sz val="10"/>
      <color rgb="FF000000"/>
      <name val="Arial"/>
      <family val="1"/>
    </font>
    <font>
      <sz val="10"/>
      <name val="Arial"/>
      <family val="1"/>
    </font>
    <font>
      <sz val="11"/>
      <name val="Arial"/>
      <family val="1"/>
    </font>
    <font>
      <b/>
      <sz val="11"/>
      <name val="Arial"/>
      <family val="2"/>
    </font>
    <font>
      <sz val="10"/>
      <color indexed="8"/>
      <name val="Arial"/>
      <family val="2"/>
    </font>
    <font>
      <b/>
      <sz val="10"/>
      <name val="Arial"/>
      <family val="2"/>
    </font>
    <font>
      <b/>
      <sz val="12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b/>
      <sz val="10"/>
      <color rgb="FF000000"/>
      <name val="Arial"/>
      <family val="2"/>
    </font>
    <font>
      <u/>
      <sz val="10"/>
      <name val="Arial"/>
      <family val="2"/>
    </font>
    <font>
      <sz val="14"/>
      <name val="Arial"/>
      <family val="2"/>
    </font>
    <font>
      <b/>
      <sz val="14"/>
      <name val="Arial"/>
      <family val="2"/>
    </font>
    <font>
      <b/>
      <sz val="16"/>
      <name val="Arial"/>
      <family val="2"/>
    </font>
    <font>
      <sz val="12"/>
      <color indexed="12"/>
      <name val="Arial"/>
      <family val="2"/>
    </font>
    <font>
      <sz val="12"/>
      <name val="Arial"/>
      <family val="2"/>
    </font>
    <font>
      <sz val="11"/>
      <color rgb="FF000000"/>
      <name val="Calibri"/>
      <family val="2"/>
      <scheme val="minor"/>
    </font>
    <font>
      <b/>
      <sz val="12"/>
      <color indexed="12"/>
      <name val="Arial"/>
      <family val="2"/>
    </font>
    <font>
      <b/>
      <sz val="8"/>
      <name val="Arial"/>
      <family val="2"/>
    </font>
    <font>
      <sz val="11"/>
      <color theme="0" tint="-0.34998626667073579"/>
      <name val="Arial"/>
      <family val="1"/>
    </font>
    <font>
      <sz val="11"/>
      <color rgb="FF0070C0"/>
      <name val="Arial"/>
      <family val="1"/>
    </font>
  </fonts>
  <fills count="24">
    <fill>
      <patternFill patternType="none"/>
    </fill>
    <fill>
      <patternFill patternType="gray125"/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FFFFFF"/>
      </patternFill>
    </fill>
    <fill>
      <patternFill patternType="solid">
        <fgColor rgb="FFD6D6D6"/>
      </patternFill>
    </fill>
    <fill>
      <patternFill patternType="solid">
        <fgColor rgb="FFEFEFEF"/>
      </patternFill>
    </fill>
    <fill>
      <patternFill patternType="solid">
        <fgColor rgb="FFD8ECF6"/>
      </patternFill>
    </fill>
    <fill>
      <patternFill patternType="solid">
        <fgColor rgb="FFDFF0D8"/>
      </patternFill>
    </fill>
    <fill>
      <patternFill patternType="solid">
        <fgColor rgb="FFF7F3DF"/>
      </patternFill>
    </fill>
    <fill>
      <patternFill patternType="solid">
        <fgColor rgb="FFFFFFFF"/>
      </patternFill>
    </fill>
    <fill>
      <patternFill patternType="solid">
        <fgColor theme="0" tint="-0.34998626667073579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22"/>
      </patternFill>
    </fill>
    <fill>
      <patternFill patternType="solid">
        <fgColor theme="9" tint="0.39997558519241921"/>
        <bgColor indexed="64"/>
      </patternFill>
    </fill>
    <fill>
      <patternFill patternType="solid">
        <fgColor theme="0" tint="-0.249977111117893"/>
        <bgColor indexed="41"/>
      </patternFill>
    </fill>
    <fill>
      <patternFill patternType="solid">
        <fgColor theme="0" tint="-0.14999847407452621"/>
        <bgColor indexed="31"/>
      </patternFill>
    </fill>
    <fill>
      <patternFill patternType="solid">
        <fgColor theme="4" tint="0.79998168889431442"/>
        <bgColor indexed="31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4" tint="0.39997558519241921"/>
        <bgColor indexed="64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theme="9" tint="0.39997558519241921"/>
        <bgColor rgb="FF000000"/>
      </patternFill>
    </fill>
    <fill>
      <patternFill patternType="solid">
        <fgColor theme="9" tint="0.59999389629810485"/>
        <bgColor indexed="64"/>
      </patternFill>
    </fill>
    <fill>
      <patternFill patternType="solid">
        <fgColor theme="0" tint="-0.14999847407452621"/>
        <bgColor indexed="64"/>
      </patternFill>
    </fill>
  </fills>
  <borders count="34">
    <border>
      <left/>
      <right/>
      <top/>
      <bottom/>
      <diagonal/>
    </border>
    <border>
      <left/>
      <right/>
      <top style="thick">
        <color rgb="FF000000"/>
      </top>
      <bottom/>
      <diagonal/>
    </border>
    <border>
      <left style="thin">
        <color rgb="FFCCCCCC"/>
      </left>
      <right style="thin">
        <color rgb="FFCCCCCC"/>
      </right>
      <top style="thin">
        <color rgb="FFCCCCCC"/>
      </top>
      <bottom style="thin">
        <color rgb="FFCCCCCC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rgb="FFCCCCCC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CCCCCC"/>
      </left>
      <right/>
      <top style="thin">
        <color rgb="FFCCCCCC"/>
      </top>
      <bottom style="thin">
        <color rgb="FFCCCCCC"/>
      </bottom>
      <diagonal/>
    </border>
    <border>
      <left/>
      <right style="thin">
        <color rgb="FFCCCCCC"/>
      </right>
      <top style="thin">
        <color rgb="FFCCCCCC"/>
      </top>
      <bottom style="thin">
        <color rgb="FFCCCCCC"/>
      </bottom>
      <diagonal/>
    </border>
  </borders>
  <cellStyleXfs count="8">
    <xf numFmtId="0" fontId="0" fillId="0" borderId="0"/>
    <xf numFmtId="43" fontId="12" fillId="0" borderId="0" applyFont="0" applyFill="0" applyBorder="0" applyAlignment="0" applyProtection="0"/>
    <xf numFmtId="9" fontId="12" fillId="0" borderId="0" applyFont="0" applyFill="0" applyBorder="0" applyAlignment="0" applyProtection="0"/>
    <xf numFmtId="0" fontId="1" fillId="0" borderId="0"/>
    <xf numFmtId="9" fontId="1" fillId="0" borderId="0" applyFont="0" applyFill="0" applyBorder="0" applyAlignment="0" applyProtection="0"/>
    <xf numFmtId="44" fontId="1" fillId="0" borderId="0" applyFont="0" applyFill="0" applyBorder="0" applyAlignment="0" applyProtection="0"/>
    <xf numFmtId="9" fontId="26" fillId="0" borderId="0" applyFont="0" applyFill="0" applyBorder="0" applyAlignment="0" applyProtection="0"/>
    <xf numFmtId="43" fontId="1" fillId="0" borderId="0" applyFont="0" applyFill="0" applyBorder="0" applyAlignment="0" applyProtection="0"/>
  </cellStyleXfs>
  <cellXfs count="334">
    <xf numFmtId="0" fontId="0" fillId="0" borderId="0" xfId="0"/>
    <xf numFmtId="0" fontId="0" fillId="0" borderId="0" xfId="0"/>
    <xf numFmtId="0" fontId="0" fillId="0" borderId="0" xfId="0" applyFill="1" applyBorder="1"/>
    <xf numFmtId="0" fontId="2" fillId="0" borderId="0" xfId="0" applyFont="1" applyFill="1" applyBorder="1" applyAlignment="1">
      <alignment horizontal="right" vertical="top" wrapText="1"/>
    </xf>
    <xf numFmtId="4" fontId="10" fillId="0" borderId="0" xfId="0" applyNumberFormat="1" applyFont="1" applyFill="1" applyBorder="1" applyAlignment="1">
      <alignment horizontal="right" vertical="top" wrapText="1"/>
    </xf>
    <xf numFmtId="166" fontId="0" fillId="0" borderId="0" xfId="0" applyNumberFormat="1"/>
    <xf numFmtId="0" fontId="0" fillId="0" borderId="0" xfId="0"/>
    <xf numFmtId="43" fontId="0" fillId="0" borderId="0" xfId="1" applyNumberFormat="1" applyFont="1"/>
    <xf numFmtId="0" fontId="14" fillId="0" borderId="0" xfId="3" applyFont="1" applyFill="1" applyProtection="1">
      <protection locked="0"/>
    </xf>
    <xf numFmtId="0" fontId="15" fillId="0" borderId="0" xfId="3" applyFont="1" applyFill="1" applyBorder="1" applyAlignment="1" applyProtection="1">
      <alignment vertical="center"/>
      <protection locked="0"/>
    </xf>
    <xf numFmtId="0" fontId="16" fillId="0" borderId="0" xfId="3" applyFont="1" applyFill="1" applyBorder="1" applyAlignment="1" applyProtection="1">
      <alignment vertical="center"/>
      <protection locked="0"/>
    </xf>
    <xf numFmtId="0" fontId="15" fillId="12" borderId="0" xfId="3" applyFont="1" applyFill="1" applyBorder="1" applyAlignment="1" applyProtection="1">
      <alignment horizontal="center" vertical="center"/>
      <protection locked="0"/>
    </xf>
    <xf numFmtId="0" fontId="15" fillId="13" borderId="3" xfId="3" applyFont="1" applyFill="1" applyBorder="1" applyAlignment="1" applyProtection="1">
      <alignment horizontal="center" vertical="center"/>
    </xf>
    <xf numFmtId="0" fontId="14" fillId="0" borderId="0" xfId="3" applyFont="1" applyFill="1" applyProtection="1"/>
    <xf numFmtId="0" fontId="17" fillId="0" borderId="6" xfId="3" applyFont="1" applyBorder="1" applyAlignment="1" applyProtection="1">
      <alignment horizontal="center" vertical="center"/>
    </xf>
    <xf numFmtId="0" fontId="17" fillId="0" borderId="7" xfId="3" applyFont="1" applyBorder="1" applyAlignment="1" applyProtection="1">
      <alignment vertical="center"/>
    </xf>
    <xf numFmtId="10" fontId="18" fillId="0" borderId="8" xfId="4" applyNumberFormat="1" applyFont="1" applyFill="1" applyBorder="1" applyAlignment="1" applyProtection="1">
      <alignment horizontal="center" vertical="center"/>
    </xf>
    <xf numFmtId="0" fontId="17" fillId="0" borderId="9" xfId="3" applyFont="1" applyBorder="1" applyAlignment="1" applyProtection="1">
      <alignment horizontal="center" vertical="center"/>
    </xf>
    <xf numFmtId="0" fontId="17" fillId="0" borderId="10" xfId="3" applyFont="1" applyBorder="1" applyAlignment="1" applyProtection="1">
      <alignment vertical="center"/>
    </xf>
    <xf numFmtId="10" fontId="18" fillId="0" borderId="11" xfId="4" applyNumberFormat="1" applyFont="1" applyFill="1" applyBorder="1" applyAlignment="1" applyProtection="1">
      <alignment horizontal="center" vertical="center"/>
    </xf>
    <xf numFmtId="0" fontId="19" fillId="0" borderId="7" xfId="3" applyFont="1" applyBorder="1" applyAlignment="1" applyProtection="1">
      <alignment horizontal="center" vertical="center"/>
    </xf>
    <xf numFmtId="10" fontId="14" fillId="14" borderId="8" xfId="3" applyNumberFormat="1" applyFont="1" applyFill="1" applyBorder="1" applyAlignment="1" applyProtection="1">
      <alignment horizontal="center"/>
      <protection locked="0"/>
    </xf>
    <xf numFmtId="0" fontId="17" fillId="0" borderId="12" xfId="3" applyFont="1" applyBorder="1" applyAlignment="1" applyProtection="1">
      <alignment horizontal="center" vertical="center"/>
    </xf>
    <xf numFmtId="0" fontId="17" fillId="0" borderId="13" xfId="3" applyFont="1" applyBorder="1" applyAlignment="1" applyProtection="1">
      <alignment vertical="center"/>
    </xf>
    <xf numFmtId="0" fontId="19" fillId="0" borderId="13" xfId="3" applyFont="1" applyBorder="1" applyAlignment="1" applyProtection="1">
      <alignment horizontal="center" vertical="center"/>
    </xf>
    <xf numFmtId="10" fontId="14" fillId="14" borderId="14" xfId="3" applyNumberFormat="1" applyFont="1" applyFill="1" applyBorder="1" applyAlignment="1" applyProtection="1">
      <alignment horizontal="center"/>
      <protection locked="0"/>
    </xf>
    <xf numFmtId="0" fontId="17" fillId="0" borderId="15" xfId="3" applyFont="1" applyBorder="1" applyAlignment="1" applyProtection="1">
      <alignment vertical="center"/>
    </xf>
    <xf numFmtId="0" fontId="19" fillId="0" borderId="15" xfId="3" applyFont="1" applyBorder="1" applyAlignment="1" applyProtection="1">
      <alignment horizontal="center" vertical="center"/>
    </xf>
    <xf numFmtId="10" fontId="18" fillId="14" borderId="16" xfId="3" applyNumberFormat="1" applyFont="1" applyFill="1" applyBorder="1" applyAlignment="1" applyProtection="1">
      <alignment horizontal="center"/>
      <protection locked="0"/>
    </xf>
    <xf numFmtId="10" fontId="14" fillId="14" borderId="16" xfId="3" applyNumberFormat="1" applyFont="1" applyFill="1" applyBorder="1" applyAlignment="1" applyProtection="1">
      <alignment horizontal="center"/>
      <protection locked="0"/>
    </xf>
    <xf numFmtId="0" fontId="17" fillId="0" borderId="17" xfId="3" applyFont="1" applyBorder="1" applyAlignment="1" applyProtection="1">
      <alignment horizontal="center" vertical="center"/>
    </xf>
    <xf numFmtId="10" fontId="14" fillId="14" borderId="11" xfId="3" applyNumberFormat="1" applyFont="1" applyFill="1" applyBorder="1" applyAlignment="1" applyProtection="1">
      <alignment horizontal="center"/>
      <protection locked="0"/>
    </xf>
    <xf numFmtId="0" fontId="19" fillId="0" borderId="3" xfId="3" applyFont="1" applyBorder="1" applyAlignment="1" applyProtection="1">
      <alignment horizontal="center" vertical="center"/>
    </xf>
    <xf numFmtId="0" fontId="17" fillId="0" borderId="4" xfId="3" applyFont="1" applyBorder="1" applyAlignment="1" applyProtection="1">
      <alignment horizontal="center" vertical="center" wrapText="1"/>
    </xf>
    <xf numFmtId="0" fontId="15" fillId="0" borderId="4" xfId="3" applyFont="1" applyFill="1" applyBorder="1" applyAlignment="1" applyProtection="1">
      <alignment horizontal="center" vertical="center"/>
    </xf>
    <xf numFmtId="10" fontId="15" fillId="0" borderId="5" xfId="3" applyNumberFormat="1" applyFont="1" applyFill="1" applyBorder="1" applyAlignment="1" applyProtection="1">
      <alignment horizontal="center" vertical="center"/>
    </xf>
    <xf numFmtId="0" fontId="18" fillId="0" borderId="0" xfId="3" applyFont="1" applyFill="1" applyProtection="1"/>
    <xf numFmtId="10" fontId="18" fillId="0" borderId="0" xfId="3" applyNumberFormat="1" applyFont="1" applyFill="1" applyBorder="1" applyAlignment="1" applyProtection="1">
      <alignment horizontal="center"/>
    </xf>
    <xf numFmtId="10" fontId="14" fillId="0" borderId="0" xfId="3" applyNumberFormat="1" applyFont="1" applyFill="1" applyBorder="1" applyAlignment="1" applyProtection="1">
      <alignment horizontal="center"/>
    </xf>
    <xf numFmtId="10" fontId="14" fillId="0" borderId="0" xfId="3" applyNumberFormat="1" applyFont="1" applyFill="1" applyAlignment="1" applyProtection="1">
      <alignment horizontal="center"/>
    </xf>
    <xf numFmtId="0" fontId="21" fillId="0" borderId="0" xfId="3" applyFont="1" applyBorder="1" applyAlignment="1" applyProtection="1">
      <alignment vertical="center"/>
      <protection locked="0"/>
    </xf>
    <xf numFmtId="49" fontId="23" fillId="15" borderId="18" xfId="3" applyNumberFormat="1" applyFont="1" applyFill="1" applyBorder="1" applyAlignment="1" applyProtection="1">
      <alignment horizontal="center" vertical="center"/>
    </xf>
    <xf numFmtId="168" fontId="23" fillId="15" borderId="18" xfId="3" applyNumberFormat="1" applyFont="1" applyFill="1" applyBorder="1" applyAlignment="1" applyProtection="1">
      <alignment horizontal="center" vertical="center" wrapText="1"/>
    </xf>
    <xf numFmtId="168" fontId="23" fillId="15" borderId="18" xfId="3" applyNumberFormat="1" applyFont="1" applyFill="1" applyBorder="1" applyAlignment="1" applyProtection="1">
      <alignment horizontal="center" vertical="center"/>
    </xf>
    <xf numFmtId="168" fontId="22" fillId="15" borderId="18" xfId="3" applyNumberFormat="1" applyFont="1" applyFill="1" applyBorder="1" applyAlignment="1" applyProtection="1">
      <alignment horizontal="center" vertical="center"/>
    </xf>
    <xf numFmtId="0" fontId="22" fillId="0" borderId="0" xfId="3" applyFont="1" applyAlignment="1" applyProtection="1">
      <alignment vertical="center"/>
    </xf>
    <xf numFmtId="4" fontId="22" fillId="0" borderId="18" xfId="3" applyNumberFormat="1" applyFont="1" applyFill="1" applyBorder="1" applyAlignment="1" applyProtection="1">
      <alignment horizontal="center" vertical="center"/>
    </xf>
    <xf numFmtId="39" fontId="22" fillId="0" borderId="18" xfId="3" applyNumberFormat="1" applyFont="1" applyFill="1" applyBorder="1" applyAlignment="1" applyProtection="1">
      <alignment horizontal="center" vertical="center"/>
    </xf>
    <xf numFmtId="39" fontId="21" fillId="0" borderId="0" xfId="3" applyNumberFormat="1" applyFont="1" applyFill="1" applyBorder="1" applyAlignment="1" applyProtection="1">
      <alignment horizontal="center" vertical="center"/>
    </xf>
    <xf numFmtId="10" fontId="25" fillId="0" borderId="18" xfId="3" applyNumberFormat="1" applyFont="1" applyFill="1" applyBorder="1" applyAlignment="1" applyProtection="1">
      <alignment horizontal="center" vertical="center"/>
    </xf>
    <xf numFmtId="0" fontId="21" fillId="0" borderId="0" xfId="3" applyFont="1" applyAlignment="1" applyProtection="1">
      <alignment vertical="center"/>
    </xf>
    <xf numFmtId="0" fontId="21" fillId="0" borderId="0" xfId="3" applyFont="1" applyFill="1" applyBorder="1" applyAlignment="1" applyProtection="1">
      <alignment vertical="center"/>
    </xf>
    <xf numFmtId="10" fontId="24" fillId="0" borderId="18" xfId="6" applyNumberFormat="1" applyFont="1" applyFill="1" applyBorder="1" applyAlignment="1" applyProtection="1">
      <alignment horizontal="center" vertical="center"/>
    </xf>
    <xf numFmtId="4" fontId="22" fillId="18" borderId="18" xfId="3" applyNumberFormat="1" applyFont="1" applyFill="1" applyBorder="1" applyAlignment="1" applyProtection="1">
      <alignment horizontal="center" vertical="center"/>
    </xf>
    <xf numFmtId="39" fontId="21" fillId="0" borderId="0" xfId="3" applyNumberFormat="1" applyFont="1" applyAlignment="1" applyProtection="1">
      <alignment vertical="center"/>
    </xf>
    <xf numFmtId="10" fontId="27" fillId="18" borderId="18" xfId="4" applyNumberFormat="1" applyFont="1" applyFill="1" applyBorder="1" applyAlignment="1" applyProtection="1">
      <alignment horizontal="center" vertical="center"/>
    </xf>
    <xf numFmtId="10" fontId="16" fillId="18" borderId="18" xfId="3" applyNumberFormat="1" applyFont="1" applyFill="1" applyBorder="1" applyAlignment="1" applyProtection="1">
      <alignment horizontal="center" vertical="center"/>
    </xf>
    <xf numFmtId="4" fontId="22" fillId="18" borderId="19" xfId="3" applyNumberFormat="1" applyFont="1" applyFill="1" applyBorder="1" applyAlignment="1" applyProtection="1">
      <alignment horizontal="center" vertical="center"/>
    </xf>
    <xf numFmtId="4" fontId="21" fillId="0" borderId="0" xfId="3" applyNumberFormat="1" applyFont="1" applyAlignment="1" applyProtection="1">
      <alignment vertical="center"/>
    </xf>
    <xf numFmtId="49" fontId="21" fillId="0" borderId="0" xfId="3" applyNumberFormat="1" applyFont="1" applyFill="1" applyAlignment="1" applyProtection="1">
      <alignment horizontal="center" vertical="center"/>
    </xf>
    <xf numFmtId="0" fontId="21" fillId="0" borderId="0" xfId="3" applyFont="1" applyBorder="1" applyAlignment="1" applyProtection="1">
      <alignment horizontal="left" vertical="center" wrapText="1"/>
    </xf>
    <xf numFmtId="0" fontId="21" fillId="0" borderId="0" xfId="3" applyFont="1" applyBorder="1" applyAlignment="1" applyProtection="1">
      <alignment vertical="center" wrapText="1"/>
    </xf>
    <xf numFmtId="2" fontId="21" fillId="0" borderId="0" xfId="3" applyNumberFormat="1" applyFont="1" applyBorder="1" applyAlignment="1" applyProtection="1">
      <alignment vertical="center" wrapText="1"/>
    </xf>
    <xf numFmtId="39" fontId="21" fillId="0" borderId="0" xfId="3" applyNumberFormat="1" applyFont="1" applyAlignment="1" applyProtection="1">
      <alignment horizontal="right" vertical="center"/>
    </xf>
    <xf numFmtId="0" fontId="21" fillId="0" borderId="0" xfId="3" applyFont="1" applyAlignment="1" applyProtection="1">
      <alignment horizontal="left" vertical="center" wrapText="1"/>
    </xf>
    <xf numFmtId="39" fontId="21" fillId="0" borderId="0" xfId="3" applyNumberFormat="1" applyFont="1" applyAlignment="1" applyProtection="1">
      <alignment horizontal="center" vertical="center"/>
    </xf>
    <xf numFmtId="0" fontId="21" fillId="0" borderId="0" xfId="3" applyNumberFormat="1" applyFont="1" applyAlignment="1" applyProtection="1">
      <alignment horizontal="left" vertical="center" wrapText="1"/>
    </xf>
    <xf numFmtId="0" fontId="21" fillId="0" borderId="0" xfId="3" applyNumberFormat="1" applyFont="1" applyAlignment="1" applyProtection="1">
      <alignment horizontal="right" vertical="center"/>
    </xf>
    <xf numFmtId="0" fontId="21" fillId="0" borderId="0" xfId="3" applyNumberFormat="1" applyFont="1" applyAlignment="1" applyProtection="1">
      <alignment vertical="center"/>
    </xf>
    <xf numFmtId="0" fontId="3" fillId="11" borderId="18" xfId="0" applyFont="1" applyFill="1" applyBorder="1" applyAlignment="1">
      <alignment horizontal="center" vertical="center" wrapText="1"/>
    </xf>
    <xf numFmtId="0" fontId="5" fillId="11" borderId="18" xfId="0" applyFont="1" applyFill="1" applyBorder="1" applyAlignment="1">
      <alignment horizontal="center" vertical="center" wrapText="1"/>
    </xf>
    <xf numFmtId="0" fontId="4" fillId="11" borderId="18" xfId="0" applyFont="1" applyFill="1" applyBorder="1" applyAlignment="1">
      <alignment horizontal="center" vertical="center" wrapText="1"/>
    </xf>
    <xf numFmtId="0" fontId="0" fillId="0" borderId="0" xfId="0" applyAlignment="1">
      <alignment vertical="center"/>
    </xf>
    <xf numFmtId="0" fontId="15" fillId="0" borderId="0" xfId="3" applyFont="1" applyFill="1" applyBorder="1" applyAlignment="1" applyProtection="1">
      <alignment vertical="center"/>
    </xf>
    <xf numFmtId="0" fontId="14" fillId="12" borderId="0" xfId="3" applyFont="1" applyFill="1" applyAlignment="1" applyProtection="1">
      <alignment horizontal="center"/>
    </xf>
    <xf numFmtId="0" fontId="16" fillId="0" borderId="0" xfId="3" applyFont="1" applyFill="1" applyBorder="1" applyAlignment="1" applyProtection="1">
      <alignment vertical="center"/>
    </xf>
    <xf numFmtId="0" fontId="18" fillId="0" borderId="0" xfId="3" applyFont="1" applyFill="1" applyBorder="1" applyProtection="1"/>
    <xf numFmtId="0" fontId="13" fillId="0" borderId="0" xfId="3" applyFont="1" applyFill="1" applyBorder="1" applyAlignment="1" applyProtection="1">
      <alignment horizontal="center" vertical="center" wrapText="1"/>
    </xf>
    <xf numFmtId="0" fontId="14" fillId="0" borderId="0" xfId="3" applyFont="1" applyFill="1" applyBorder="1" applyProtection="1"/>
    <xf numFmtId="0" fontId="0" fillId="0" borderId="0" xfId="0" applyAlignment="1">
      <alignment horizontal="center" vertical="center"/>
    </xf>
    <xf numFmtId="10" fontId="15" fillId="0" borderId="0" xfId="2" applyNumberFormat="1" applyFont="1" applyAlignment="1">
      <alignment vertical="center"/>
    </xf>
    <xf numFmtId="0" fontId="18" fillId="0" borderId="0" xfId="0" applyFont="1" applyAlignment="1">
      <alignment vertical="center"/>
    </xf>
    <xf numFmtId="10" fontId="15" fillId="0" borderId="0" xfId="0" applyNumberFormat="1" applyFont="1" applyAlignment="1">
      <alignment vertical="center"/>
    </xf>
    <xf numFmtId="10" fontId="15" fillId="10" borderId="0" xfId="2" applyNumberFormat="1" applyFont="1" applyFill="1" applyAlignment="1">
      <alignment horizontal="right" vertical="center" wrapText="1"/>
    </xf>
    <xf numFmtId="0" fontId="13" fillId="11" borderId="18" xfId="0" applyFont="1" applyFill="1" applyBorder="1" applyAlignment="1">
      <alignment horizontal="center" vertical="center"/>
    </xf>
    <xf numFmtId="0" fontId="9" fillId="11" borderId="18" xfId="0" applyFont="1" applyFill="1" applyBorder="1" applyAlignment="1">
      <alignment horizontal="center" vertical="center" wrapText="1"/>
    </xf>
    <xf numFmtId="0" fontId="0" fillId="0" borderId="0" xfId="0" applyBorder="1"/>
    <xf numFmtId="0" fontId="11" fillId="0" borderId="0" xfId="0" applyFont="1" applyFill="1" applyBorder="1" applyAlignment="1">
      <alignment horizontal="center" vertical="top"/>
    </xf>
    <xf numFmtId="0" fontId="10" fillId="8" borderId="0" xfId="0" applyFont="1" applyFill="1" applyBorder="1" applyAlignment="1">
      <alignment horizontal="right" vertical="top"/>
    </xf>
    <xf numFmtId="0" fontId="10" fillId="8" borderId="0" xfId="0" applyFont="1" applyFill="1" applyBorder="1" applyAlignment="1">
      <alignment horizontal="left" vertical="top"/>
    </xf>
    <xf numFmtId="0" fontId="10" fillId="8" borderId="0" xfId="0" applyFont="1" applyFill="1" applyBorder="1" applyAlignment="1">
      <alignment horizontal="center" vertical="top"/>
    </xf>
    <xf numFmtId="164" fontId="10" fillId="8" borderId="0" xfId="0" applyNumberFormat="1" applyFont="1" applyFill="1" applyBorder="1" applyAlignment="1">
      <alignment horizontal="right" vertical="top"/>
    </xf>
    <xf numFmtId="4" fontId="10" fillId="8" borderId="0" xfId="0" applyNumberFormat="1" applyFont="1" applyFill="1" applyBorder="1" applyAlignment="1">
      <alignment horizontal="right" vertical="top"/>
    </xf>
    <xf numFmtId="0" fontId="11" fillId="5" borderId="0" xfId="0" applyFont="1" applyFill="1" applyBorder="1" applyAlignment="1">
      <alignment horizontal="right" vertical="top"/>
    </xf>
    <xf numFmtId="0" fontId="11" fillId="5" borderId="0" xfId="0" applyFont="1" applyFill="1" applyBorder="1" applyAlignment="1">
      <alignment horizontal="left" vertical="top"/>
    </xf>
    <xf numFmtId="0" fontId="11" fillId="5" borderId="0" xfId="0" applyFont="1" applyFill="1" applyBorder="1" applyAlignment="1">
      <alignment horizontal="center" vertical="top"/>
    </xf>
    <xf numFmtId="164" fontId="11" fillId="5" borderId="0" xfId="0" applyNumberFormat="1" applyFont="1" applyFill="1" applyBorder="1" applyAlignment="1">
      <alignment horizontal="right" vertical="top"/>
    </xf>
    <xf numFmtId="4" fontId="11" fillId="5" borderId="0" xfId="0" applyNumberFormat="1" applyFont="1" applyFill="1" applyBorder="1" applyAlignment="1">
      <alignment horizontal="right" vertical="top"/>
    </xf>
    <xf numFmtId="0" fontId="11" fillId="6" borderId="0" xfId="0" applyFont="1" applyFill="1" applyBorder="1" applyAlignment="1">
      <alignment horizontal="right" vertical="top" wrapText="1"/>
    </xf>
    <xf numFmtId="0" fontId="11" fillId="6" borderId="0" xfId="0" applyFont="1" applyFill="1" applyBorder="1" applyAlignment="1">
      <alignment horizontal="left" vertical="top"/>
    </xf>
    <xf numFmtId="0" fontId="11" fillId="6" borderId="0" xfId="0" applyFont="1" applyFill="1" applyBorder="1" applyAlignment="1">
      <alignment horizontal="center" vertical="top"/>
    </xf>
    <xf numFmtId="164" fontId="11" fillId="6" borderId="0" xfId="0" applyNumberFormat="1" applyFont="1" applyFill="1" applyBorder="1" applyAlignment="1">
      <alignment horizontal="right" vertical="top"/>
    </xf>
    <xf numFmtId="4" fontId="11" fillId="6" borderId="0" xfId="0" applyNumberFormat="1" applyFont="1" applyFill="1" applyBorder="1" applyAlignment="1">
      <alignment horizontal="right" vertical="top"/>
    </xf>
    <xf numFmtId="0" fontId="0" fillId="0" borderId="0" xfId="0" applyFill="1" applyBorder="1" applyAlignment="1">
      <alignment vertical="center"/>
    </xf>
    <xf numFmtId="10" fontId="15" fillId="0" borderId="0" xfId="0" applyNumberFormat="1" applyFont="1" applyFill="1" applyBorder="1" applyAlignment="1">
      <alignment vertical="center"/>
    </xf>
    <xf numFmtId="10" fontId="15" fillId="0" borderId="0" xfId="2" applyNumberFormat="1" applyFont="1" applyFill="1" applyBorder="1" applyAlignment="1">
      <alignment horizontal="right" vertical="center" wrapText="1"/>
    </xf>
    <xf numFmtId="0" fontId="18" fillId="0" borderId="0" xfId="0" applyFont="1" applyFill="1" applyBorder="1" applyAlignment="1">
      <alignment vertical="center"/>
    </xf>
    <xf numFmtId="0" fontId="10" fillId="8" borderId="0" xfId="0" applyFont="1" applyFill="1" applyBorder="1" applyAlignment="1">
      <alignment horizontal="left" vertical="center"/>
    </xf>
    <xf numFmtId="0" fontId="10" fillId="8" borderId="0" xfId="0" applyFont="1" applyFill="1" applyBorder="1" applyAlignment="1">
      <alignment horizontal="right" vertical="center"/>
    </xf>
    <xf numFmtId="0" fontId="10" fillId="8" borderId="0" xfId="0" applyFont="1" applyFill="1" applyBorder="1" applyAlignment="1">
      <alignment horizontal="center" vertical="center"/>
    </xf>
    <xf numFmtId="164" fontId="10" fillId="8" borderId="0" xfId="0" applyNumberFormat="1" applyFont="1" applyFill="1" applyBorder="1" applyAlignment="1">
      <alignment horizontal="right" vertical="center"/>
    </xf>
    <xf numFmtId="4" fontId="10" fillId="8" borderId="0" xfId="0" applyNumberFormat="1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right" vertical="center"/>
    </xf>
    <xf numFmtId="0" fontId="11" fillId="5" borderId="0" xfId="0" applyFont="1" applyFill="1" applyBorder="1" applyAlignment="1">
      <alignment horizontal="center" vertical="center"/>
    </xf>
    <xf numFmtId="164" fontId="11" fillId="5" borderId="0" xfId="0" applyNumberFormat="1" applyFont="1" applyFill="1" applyBorder="1" applyAlignment="1">
      <alignment horizontal="right" vertical="center"/>
    </xf>
    <xf numFmtId="4" fontId="11" fillId="5" borderId="0" xfId="0" applyNumberFormat="1" applyFont="1" applyFill="1" applyBorder="1" applyAlignment="1">
      <alignment horizontal="right" vertical="center"/>
    </xf>
    <xf numFmtId="0" fontId="11" fillId="6" borderId="0" xfId="0" applyFont="1" applyFill="1" applyBorder="1" applyAlignment="1">
      <alignment horizontal="left" vertical="center"/>
    </xf>
    <xf numFmtId="0" fontId="11" fillId="6" borderId="0" xfId="0" applyFont="1" applyFill="1" applyBorder="1" applyAlignment="1">
      <alignment horizontal="right" vertical="center" wrapText="1"/>
    </xf>
    <xf numFmtId="0" fontId="11" fillId="6" borderId="0" xfId="0" applyFont="1" applyFill="1" applyBorder="1" applyAlignment="1">
      <alignment horizontal="center" vertical="center"/>
    </xf>
    <xf numFmtId="164" fontId="11" fillId="6" borderId="0" xfId="0" applyNumberFormat="1" applyFont="1" applyFill="1" applyBorder="1" applyAlignment="1">
      <alignment horizontal="right" vertical="center"/>
    </xf>
    <xf numFmtId="4" fontId="11" fillId="6" borderId="0" xfId="0" applyNumberFormat="1" applyFont="1" applyFill="1" applyBorder="1" applyAlignment="1">
      <alignment horizontal="right" vertical="center"/>
    </xf>
    <xf numFmtId="0" fontId="10" fillId="8" borderId="30" xfId="0" applyFont="1" applyFill="1" applyBorder="1" applyAlignment="1">
      <alignment horizontal="left" vertical="center"/>
    </xf>
    <xf numFmtId="4" fontId="10" fillId="8" borderId="31" xfId="0" applyNumberFormat="1" applyFont="1" applyFill="1" applyBorder="1" applyAlignment="1">
      <alignment horizontal="right" vertical="center"/>
    </xf>
    <xf numFmtId="0" fontId="11" fillId="5" borderId="30" xfId="0" applyFont="1" applyFill="1" applyBorder="1" applyAlignment="1">
      <alignment horizontal="left" vertical="center"/>
    </xf>
    <xf numFmtId="4" fontId="11" fillId="5" borderId="31" xfId="0" applyNumberFormat="1" applyFont="1" applyFill="1" applyBorder="1" applyAlignment="1">
      <alignment horizontal="right" vertical="center"/>
    </xf>
    <xf numFmtId="0" fontId="11" fillId="6" borderId="28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right" vertical="center" wrapText="1"/>
    </xf>
    <xf numFmtId="164" fontId="11" fillId="6" borderId="21" xfId="0" applyNumberFormat="1" applyFont="1" applyFill="1" applyBorder="1" applyAlignment="1">
      <alignment horizontal="right" vertical="center"/>
    </xf>
    <xf numFmtId="4" fontId="11" fillId="6" borderId="29" xfId="0" applyNumberFormat="1" applyFont="1" applyFill="1" applyBorder="1" applyAlignment="1">
      <alignment horizontal="right" vertical="center"/>
    </xf>
    <xf numFmtId="0" fontId="10" fillId="8" borderId="30" xfId="0" applyFont="1" applyFill="1" applyBorder="1" applyAlignment="1">
      <alignment horizontal="left" vertical="top"/>
    </xf>
    <xf numFmtId="4" fontId="10" fillId="8" borderId="31" xfId="0" applyNumberFormat="1" applyFont="1" applyFill="1" applyBorder="1" applyAlignment="1">
      <alignment horizontal="right" vertical="top"/>
    </xf>
    <xf numFmtId="0" fontId="11" fillId="5" borderId="30" xfId="0" applyFont="1" applyFill="1" applyBorder="1" applyAlignment="1">
      <alignment horizontal="left" vertical="top"/>
    </xf>
    <xf numFmtId="4" fontId="11" fillId="5" borderId="31" xfId="0" applyNumberFormat="1" applyFont="1" applyFill="1" applyBorder="1" applyAlignment="1">
      <alignment horizontal="right" vertical="top"/>
    </xf>
    <xf numFmtId="0" fontId="11" fillId="6" borderId="28" xfId="0" applyFont="1" applyFill="1" applyBorder="1" applyAlignment="1">
      <alignment horizontal="left" vertical="top"/>
    </xf>
    <xf numFmtId="0" fontId="11" fillId="6" borderId="21" xfId="0" applyFont="1" applyFill="1" applyBorder="1" applyAlignment="1">
      <alignment horizontal="right" vertical="top" wrapText="1"/>
    </xf>
    <xf numFmtId="0" fontId="11" fillId="6" borderId="21" xfId="0" applyFont="1" applyFill="1" applyBorder="1" applyAlignment="1">
      <alignment horizontal="center" vertical="top"/>
    </xf>
    <xf numFmtId="164" fontId="11" fillId="6" borderId="21" xfId="0" applyNumberFormat="1" applyFont="1" applyFill="1" applyBorder="1" applyAlignment="1">
      <alignment horizontal="right" vertical="top"/>
    </xf>
    <xf numFmtId="4" fontId="11" fillId="6" borderId="21" xfId="0" applyNumberFormat="1" applyFont="1" applyFill="1" applyBorder="1" applyAlignment="1">
      <alignment horizontal="right" vertical="top"/>
    </xf>
    <xf numFmtId="4" fontId="11" fillId="6" borderId="29" xfId="0" applyNumberFormat="1" applyFont="1" applyFill="1" applyBorder="1" applyAlignment="1">
      <alignment horizontal="right" vertical="top"/>
    </xf>
    <xf numFmtId="0" fontId="29" fillId="0" borderId="0" xfId="0" applyFont="1"/>
    <xf numFmtId="0" fontId="29" fillId="0" borderId="0" xfId="0" applyFont="1" applyAlignment="1">
      <alignment vertical="center"/>
    </xf>
    <xf numFmtId="43" fontId="29" fillId="0" borderId="0" xfId="0" applyNumberFormat="1" applyFont="1"/>
    <xf numFmtId="0" fontId="30" fillId="0" borderId="0" xfId="0" applyFont="1" applyAlignment="1">
      <alignment vertical="center"/>
    </xf>
    <xf numFmtId="0" fontId="11" fillId="0" borderId="0" xfId="0" applyFont="1"/>
    <xf numFmtId="165" fontId="11" fillId="0" borderId="0" xfId="1" applyNumberFormat="1" applyFont="1"/>
    <xf numFmtId="0" fontId="11" fillId="0" borderId="0" xfId="0" applyFont="1" applyFill="1"/>
    <xf numFmtId="0" fontId="11" fillId="0" borderId="0" xfId="0" applyFont="1" applyFill="1" applyBorder="1"/>
    <xf numFmtId="0" fontId="11" fillId="0" borderId="0" xfId="0" applyFont="1" applyBorder="1"/>
    <xf numFmtId="0" fontId="11" fillId="0" borderId="0" xfId="0" applyFont="1" applyAlignment="1">
      <alignment horizontal="center" vertical="center"/>
    </xf>
    <xf numFmtId="0" fontId="11" fillId="0" borderId="0" xfId="0" applyFont="1" applyBorder="1" applyAlignment="1">
      <alignment horizontal="center"/>
    </xf>
    <xf numFmtId="0" fontId="9" fillId="10" borderId="26" xfId="0" applyFont="1" applyFill="1" applyBorder="1" applyAlignment="1">
      <alignment horizontal="left" vertical="top"/>
    </xf>
    <xf numFmtId="0" fontId="9" fillId="10" borderId="22" xfId="0" applyFont="1" applyFill="1" applyBorder="1" applyAlignment="1">
      <alignment horizontal="left" vertical="top"/>
    </xf>
    <xf numFmtId="0" fontId="9" fillId="10" borderId="27" xfId="0" applyFont="1" applyFill="1" applyBorder="1" applyAlignment="1">
      <alignment horizontal="left" vertical="top"/>
    </xf>
    <xf numFmtId="0" fontId="9" fillId="11" borderId="0" xfId="0" applyFont="1" applyFill="1" applyBorder="1" applyAlignment="1">
      <alignment horizontal="center"/>
    </xf>
    <xf numFmtId="165" fontId="9" fillId="11" borderId="0" xfId="1" applyNumberFormat="1" applyFont="1" applyFill="1" applyBorder="1" applyAlignment="1">
      <alignment horizontal="center"/>
    </xf>
    <xf numFmtId="43" fontId="11" fillId="0" borderId="0" xfId="1" applyNumberFormat="1" applyFont="1" applyAlignment="1">
      <alignment horizontal="center" vertical="center"/>
    </xf>
    <xf numFmtId="43" fontId="11" fillId="0" borderId="0" xfId="1" applyNumberFormat="1" applyFont="1" applyAlignment="1">
      <alignment vertical="center"/>
    </xf>
    <xf numFmtId="165" fontId="11" fillId="0" borderId="0" xfId="1" applyNumberFormat="1" applyFont="1" applyAlignment="1">
      <alignment vertical="center"/>
    </xf>
    <xf numFmtId="0" fontId="11" fillId="0" borderId="0" xfId="0" applyFont="1" applyAlignment="1">
      <alignment horizontal="center"/>
    </xf>
    <xf numFmtId="0" fontId="11" fillId="0" borderId="0" xfId="0" applyFont="1" applyAlignment="1">
      <alignment vertical="center"/>
    </xf>
    <xf numFmtId="0" fontId="11" fillId="0" borderId="0" xfId="0" applyFont="1" applyBorder="1" applyAlignment="1">
      <alignment horizontal="center" vertical="center"/>
    </xf>
    <xf numFmtId="0" fontId="11" fillId="0" borderId="0" xfId="0" applyFont="1" applyBorder="1" applyAlignment="1">
      <alignment vertical="center"/>
    </xf>
    <xf numFmtId="0" fontId="9" fillId="11" borderId="23" xfId="0" applyFont="1" applyFill="1" applyBorder="1" applyAlignment="1">
      <alignment horizontal="center" vertical="center"/>
    </xf>
    <xf numFmtId="0" fontId="9" fillId="11" borderId="24" xfId="0" applyFont="1" applyFill="1" applyBorder="1" applyAlignment="1">
      <alignment horizontal="center" vertical="center"/>
    </xf>
    <xf numFmtId="165" fontId="9" fillId="11" borderId="24" xfId="1" applyNumberFormat="1" applyFont="1" applyFill="1" applyBorder="1" applyAlignment="1">
      <alignment horizontal="center" vertical="center"/>
    </xf>
    <xf numFmtId="0" fontId="9" fillId="11" borderId="25" xfId="0" applyFont="1" applyFill="1" applyBorder="1" applyAlignment="1">
      <alignment horizontal="center" vertical="center"/>
    </xf>
    <xf numFmtId="0" fontId="9" fillId="11" borderId="26" xfId="0" applyFont="1" applyFill="1" applyBorder="1" applyAlignment="1">
      <alignment horizontal="left" vertical="center"/>
    </xf>
    <xf numFmtId="0" fontId="9" fillId="11" borderId="22" xfId="0" applyFont="1" applyFill="1" applyBorder="1" applyAlignment="1">
      <alignment horizontal="left" vertical="center"/>
    </xf>
    <xf numFmtId="0" fontId="9" fillId="11" borderId="27" xfId="0" applyFont="1" applyFill="1" applyBorder="1" applyAlignment="1">
      <alignment horizontal="left" vertical="center"/>
    </xf>
    <xf numFmtId="43" fontId="11" fillId="0" borderId="0" xfId="1" applyNumberFormat="1" applyFont="1" applyBorder="1" applyAlignment="1">
      <alignment horizontal="center" vertical="center"/>
    </xf>
    <xf numFmtId="43" fontId="11" fillId="0" borderId="0" xfId="1" applyNumberFormat="1" applyFont="1" applyBorder="1" applyAlignment="1">
      <alignment vertical="center"/>
    </xf>
    <xf numFmtId="165" fontId="11" fillId="0" borderId="0" xfId="1" applyNumberFormat="1" applyFont="1" applyBorder="1" applyAlignment="1">
      <alignment vertical="center"/>
    </xf>
    <xf numFmtId="0" fontId="9" fillId="11" borderId="0" xfId="0" applyFont="1" applyFill="1" applyBorder="1" applyAlignment="1">
      <alignment horizontal="left" vertical="center"/>
    </xf>
    <xf numFmtId="0" fontId="11" fillId="0" borderId="26" xfId="0" applyFont="1" applyBorder="1" applyAlignment="1">
      <alignment vertical="center"/>
    </xf>
    <xf numFmtId="2" fontId="11" fillId="0" borderId="27" xfId="0" applyNumberFormat="1" applyFont="1" applyBorder="1" applyAlignment="1">
      <alignment vertical="center"/>
    </xf>
    <xf numFmtId="0" fontId="11" fillId="0" borderId="28" xfId="0" applyFont="1" applyBorder="1" applyAlignment="1">
      <alignment vertical="center"/>
    </xf>
    <xf numFmtId="2" fontId="11" fillId="0" borderId="21" xfId="0" applyNumberFormat="1" applyFont="1" applyBorder="1" applyAlignment="1">
      <alignment vertical="center"/>
    </xf>
    <xf numFmtId="0" fontId="11" fillId="0" borderId="21" xfId="0" applyFont="1" applyBorder="1" applyAlignment="1">
      <alignment vertical="center"/>
    </xf>
    <xf numFmtId="2" fontId="11" fillId="0" borderId="29" xfId="0" applyNumberFormat="1" applyFont="1" applyBorder="1" applyAlignment="1">
      <alignment vertical="center"/>
    </xf>
    <xf numFmtId="2" fontId="11" fillId="0" borderId="0" xfId="0" applyNumberFormat="1" applyFont="1" applyAlignment="1">
      <alignment vertical="center"/>
    </xf>
    <xf numFmtId="0" fontId="2" fillId="11" borderId="18" xfId="0" applyFont="1" applyFill="1" applyBorder="1" applyAlignment="1">
      <alignment horizontal="center" vertical="center" wrapText="1"/>
    </xf>
    <xf numFmtId="10" fontId="24" fillId="22" borderId="18" xfId="4" applyNumberFormat="1" applyFont="1" applyFill="1" applyBorder="1" applyAlignment="1" applyProtection="1">
      <alignment horizontal="center" vertical="center"/>
      <protection locked="0"/>
    </xf>
    <xf numFmtId="0" fontId="11" fillId="6" borderId="21" xfId="0" applyFont="1" applyFill="1" applyBorder="1" applyAlignment="1">
      <alignment horizontal="left" vertical="top"/>
    </xf>
    <xf numFmtId="0" fontId="11" fillId="6" borderId="0" xfId="0" applyFont="1" applyFill="1" applyBorder="1" applyAlignment="1">
      <alignment horizontal="left" vertical="top"/>
    </xf>
    <xf numFmtId="0" fontId="3" fillId="2" borderId="0" xfId="0" applyFont="1" applyFill="1" applyBorder="1" applyAlignment="1">
      <alignment horizontal="left" vertical="top" wrapText="1"/>
    </xf>
    <xf numFmtId="0" fontId="5" fillId="4" borderId="0" xfId="0" applyFont="1" applyFill="1" applyBorder="1" applyAlignment="1">
      <alignment horizontal="right" vertical="top" wrapText="1"/>
    </xf>
    <xf numFmtId="0" fontId="4" fillId="3" borderId="0" xfId="0" applyFont="1" applyFill="1" applyBorder="1" applyAlignment="1">
      <alignment horizontal="center" vertical="top" wrapText="1"/>
    </xf>
    <xf numFmtId="0" fontId="13" fillId="11" borderId="18" xfId="0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Alignment="1">
      <alignment horizontal="center"/>
    </xf>
    <xf numFmtId="0" fontId="6" fillId="19" borderId="18" xfId="0" applyFont="1" applyFill="1" applyBorder="1" applyAlignment="1">
      <alignment horizontal="left" vertical="center" wrapText="1"/>
    </xf>
    <xf numFmtId="10" fontId="8" fillId="19" borderId="18" xfId="2" applyNumberFormat="1" applyFont="1" applyFill="1" applyBorder="1" applyAlignment="1">
      <alignment horizontal="right" vertical="center" wrapText="1"/>
    </xf>
    <xf numFmtId="43" fontId="0" fillId="0" borderId="0" xfId="1" applyNumberFormat="1" applyFont="1" applyAlignment="1">
      <alignment vertical="center"/>
    </xf>
    <xf numFmtId="43" fontId="5" fillId="11" borderId="18" xfId="1" applyNumberFormat="1" applyFont="1" applyFill="1" applyBorder="1" applyAlignment="1">
      <alignment horizontal="center" vertical="center" wrapText="1"/>
    </xf>
    <xf numFmtId="43" fontId="2" fillId="11" borderId="18" xfId="1" applyNumberFormat="1" applyFont="1" applyFill="1" applyBorder="1" applyAlignment="1">
      <alignment horizontal="center" vertical="center" wrapText="1"/>
    </xf>
    <xf numFmtId="43" fontId="5" fillId="4" borderId="0" xfId="1" applyNumberFormat="1" applyFont="1" applyFill="1" applyBorder="1" applyAlignment="1">
      <alignment horizontal="right" vertical="top" wrapText="1"/>
    </xf>
    <xf numFmtId="43" fontId="7" fillId="19" borderId="18" xfId="1" applyNumberFormat="1" applyFont="1" applyFill="1" applyBorder="1" applyAlignment="1">
      <alignment horizontal="right" vertical="center" wrapText="1"/>
    </xf>
    <xf numFmtId="43" fontId="6" fillId="19" borderId="18" xfId="1" applyNumberFormat="1" applyFont="1" applyFill="1" applyBorder="1" applyAlignment="1">
      <alignment horizontal="left" vertical="center" wrapText="1"/>
    </xf>
    <xf numFmtId="44" fontId="0" fillId="0" borderId="0" xfId="0" applyNumberFormat="1"/>
    <xf numFmtId="165" fontId="9" fillId="11" borderId="18" xfId="1" applyNumberFormat="1" applyFont="1" applyFill="1" applyBorder="1" applyAlignment="1">
      <alignment horizontal="center" vertical="center" wrapText="1"/>
    </xf>
    <xf numFmtId="165" fontId="0" fillId="0" borderId="0" xfId="1" applyNumberFormat="1" applyFont="1" applyAlignment="1">
      <alignment horizontal="center"/>
    </xf>
    <xf numFmtId="0" fontId="2" fillId="10" borderId="2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horizontal="right" vertical="top" wrapText="1"/>
    </xf>
    <xf numFmtId="0" fontId="6" fillId="7" borderId="2" xfId="0" applyFont="1" applyFill="1" applyBorder="1" applyAlignment="1">
      <alignment horizontal="right" vertical="top" wrapText="1"/>
    </xf>
    <xf numFmtId="4" fontId="6" fillId="7" borderId="2" xfId="0" applyNumberFormat="1" applyFont="1" applyFill="1" applyBorder="1" applyAlignment="1">
      <alignment horizontal="right" vertical="top" wrapText="1"/>
    </xf>
    <xf numFmtId="0" fontId="10" fillId="8" borderId="2" xfId="0" applyFont="1" applyFill="1" applyBorder="1" applyAlignment="1">
      <alignment horizontal="center" vertical="top" wrapText="1"/>
    </xf>
    <xf numFmtId="0" fontId="10" fillId="8" borderId="2" xfId="0" applyFont="1" applyFill="1" applyBorder="1" applyAlignment="1">
      <alignment horizontal="right" vertical="top" wrapText="1"/>
    </xf>
    <xf numFmtId="4" fontId="10" fillId="8" borderId="2" xfId="0" applyNumberFormat="1" applyFont="1" applyFill="1" applyBorder="1" applyAlignment="1">
      <alignment horizontal="right" vertical="top" wrapText="1"/>
    </xf>
    <xf numFmtId="164" fontId="10" fillId="8" borderId="2" xfId="0" applyNumberFormat="1" applyFont="1" applyFill="1" applyBorder="1" applyAlignment="1">
      <alignment horizontal="right" vertical="top" wrapText="1"/>
    </xf>
    <xf numFmtId="0" fontId="10" fillId="8" borderId="1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center" vertical="top" wrapText="1"/>
    </xf>
    <xf numFmtId="0" fontId="11" fillId="5" borderId="2" xfId="0" applyFont="1" applyFill="1" applyBorder="1" applyAlignment="1">
      <alignment horizontal="right" vertical="top" wrapText="1"/>
    </xf>
    <xf numFmtId="4" fontId="11" fillId="5" borderId="2" xfId="0" applyNumberFormat="1" applyFont="1" applyFill="1" applyBorder="1" applyAlignment="1">
      <alignment horizontal="right" vertical="top" wrapText="1"/>
    </xf>
    <xf numFmtId="164" fontId="11" fillId="5" borderId="2" xfId="0" applyNumberFormat="1" applyFont="1" applyFill="1" applyBorder="1" applyAlignment="1">
      <alignment horizontal="right" vertical="top" wrapText="1"/>
    </xf>
    <xf numFmtId="0" fontId="11" fillId="6" borderId="2" xfId="0" applyFont="1" applyFill="1" applyBorder="1" applyAlignment="1">
      <alignment horizontal="center" vertical="top" wrapText="1"/>
    </xf>
    <xf numFmtId="0" fontId="11" fillId="6" borderId="2" xfId="0" applyFont="1" applyFill="1" applyBorder="1" applyAlignment="1">
      <alignment horizontal="right" vertical="top" wrapText="1"/>
    </xf>
    <xf numFmtId="4" fontId="11" fillId="6" borderId="2" xfId="0" applyNumberFormat="1" applyFont="1" applyFill="1" applyBorder="1" applyAlignment="1">
      <alignment horizontal="right" vertical="top" wrapText="1"/>
    </xf>
    <xf numFmtId="164" fontId="11" fillId="6" borderId="2" xfId="0" applyNumberFormat="1" applyFont="1" applyFill="1" applyBorder="1" applyAlignment="1">
      <alignment horizontal="right" vertical="top" wrapText="1"/>
    </xf>
    <xf numFmtId="0" fontId="9" fillId="10" borderId="0" xfId="0" applyFont="1" applyFill="1" applyAlignment="1">
      <alignment horizontal="right" vertical="top" wrapText="1"/>
    </xf>
    <xf numFmtId="4" fontId="9" fillId="10" borderId="0" xfId="0" applyNumberFormat="1" applyFont="1" applyFill="1" applyAlignment="1">
      <alignment horizontal="right" vertical="top" wrapText="1"/>
    </xf>
    <xf numFmtId="164" fontId="9" fillId="10" borderId="0" xfId="0" applyNumberFormat="1" applyFont="1" applyFill="1" applyAlignment="1">
      <alignment horizontal="right" vertical="top" wrapText="1"/>
    </xf>
    <xf numFmtId="4" fontId="11" fillId="10" borderId="0" xfId="0" applyNumberFormat="1" applyFont="1" applyFill="1" applyAlignment="1">
      <alignment horizontal="right" vertical="top" wrapText="1"/>
    </xf>
    <xf numFmtId="0" fontId="10" fillId="8" borderId="18" xfId="0" applyFont="1" applyFill="1" applyBorder="1" applyAlignment="1">
      <alignment horizontal="left" vertical="top" wrapText="1"/>
    </xf>
    <xf numFmtId="0" fontId="10" fillId="8" borderId="18" xfId="0" applyFont="1" applyFill="1" applyBorder="1" applyAlignment="1">
      <alignment horizontal="right" vertical="top" wrapText="1"/>
    </xf>
    <xf numFmtId="0" fontId="10" fillId="8" borderId="18" xfId="0" applyFont="1" applyFill="1" applyBorder="1" applyAlignment="1">
      <alignment horizontal="center" vertical="top" wrapText="1"/>
    </xf>
    <xf numFmtId="10" fontId="10" fillId="8" borderId="18" xfId="2" applyNumberFormat="1" applyFont="1" applyFill="1" applyBorder="1" applyAlignment="1">
      <alignment horizontal="right" vertical="top" wrapText="1"/>
    </xf>
    <xf numFmtId="10" fontId="11" fillId="23" borderId="18" xfId="1" applyNumberFormat="1" applyFont="1" applyFill="1" applyBorder="1" applyAlignment="1">
      <alignment horizontal="right" vertical="center" wrapText="1"/>
    </xf>
    <xf numFmtId="10" fontId="10" fillId="9" borderId="18" xfId="2" applyNumberFormat="1" applyFont="1" applyFill="1" applyBorder="1" applyAlignment="1">
      <alignment horizontal="right" vertical="center" wrapText="1"/>
    </xf>
    <xf numFmtId="0" fontId="0" fillId="0" borderId="0" xfId="0"/>
    <xf numFmtId="43" fontId="10" fillId="8" borderId="18" xfId="1" applyNumberFormat="1" applyFont="1" applyFill="1" applyBorder="1" applyAlignment="1">
      <alignment horizontal="right" vertical="top" wrapText="1"/>
    </xf>
    <xf numFmtId="43" fontId="8" fillId="19" borderId="18" xfId="1" applyNumberFormat="1" applyFont="1" applyFill="1" applyBorder="1" applyAlignment="1">
      <alignment horizontal="right" vertical="center" wrapText="1"/>
    </xf>
    <xf numFmtId="43" fontId="11" fillId="14" borderId="25" xfId="1" applyNumberFormat="1" applyFont="1" applyFill="1" applyBorder="1" applyAlignment="1">
      <alignment horizontal="right" vertical="center" wrapText="1"/>
    </xf>
    <xf numFmtId="0" fontId="11" fillId="5" borderId="18" xfId="0" applyFont="1" applyFill="1" applyBorder="1" applyAlignment="1">
      <alignment horizontal="right" vertical="top" wrapText="1"/>
    </xf>
    <xf numFmtId="0" fontId="11" fillId="5" borderId="18" xfId="0" applyFont="1" applyFill="1" applyBorder="1" applyAlignment="1">
      <alignment horizontal="left" vertical="top" wrapText="1"/>
    </xf>
    <xf numFmtId="0" fontId="11" fillId="5" borderId="18" xfId="0" applyFont="1" applyFill="1" applyBorder="1" applyAlignment="1">
      <alignment horizontal="center" vertical="top" wrapText="1"/>
    </xf>
    <xf numFmtId="0" fontId="11" fillId="6" borderId="18" xfId="0" applyFont="1" applyFill="1" applyBorder="1" applyAlignment="1">
      <alignment horizontal="right" vertical="top" wrapText="1"/>
    </xf>
    <xf numFmtId="0" fontId="11" fillId="6" borderId="18" xfId="0" applyFont="1" applyFill="1" applyBorder="1" applyAlignment="1">
      <alignment horizontal="left" vertical="top" wrapText="1"/>
    </xf>
    <xf numFmtId="0" fontId="11" fillId="6" borderId="18" xfId="0" applyFont="1" applyFill="1" applyBorder="1" applyAlignment="1">
      <alignment horizontal="center" vertical="top" wrapText="1"/>
    </xf>
    <xf numFmtId="0" fontId="10" fillId="9" borderId="18" xfId="0" applyFont="1" applyFill="1" applyBorder="1" applyAlignment="1">
      <alignment horizontal="right" vertical="top" wrapText="1"/>
    </xf>
    <xf numFmtId="0" fontId="10" fillId="9" borderId="18" xfId="0" applyFont="1" applyFill="1" applyBorder="1" applyAlignment="1">
      <alignment horizontal="left" vertical="top" wrapText="1"/>
    </xf>
    <xf numFmtId="0" fontId="10" fillId="9" borderId="18" xfId="0" applyFont="1" applyFill="1" applyBorder="1" applyAlignment="1">
      <alignment horizontal="center" vertical="top" wrapText="1"/>
    </xf>
    <xf numFmtId="0" fontId="2" fillId="10" borderId="2" xfId="0" applyFont="1" applyFill="1" applyBorder="1" applyAlignment="1">
      <alignment horizontal="left" vertical="top" wrapText="1"/>
    </xf>
    <xf numFmtId="0" fontId="11" fillId="6" borderId="2" xfId="0" applyFont="1" applyFill="1" applyBorder="1" applyAlignment="1">
      <alignment horizontal="left" vertical="top" wrapText="1"/>
    </xf>
    <xf numFmtId="0" fontId="11" fillId="5" borderId="2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 wrapText="1"/>
    </xf>
    <xf numFmtId="0" fontId="11" fillId="10" borderId="0" xfId="0" applyFont="1" applyFill="1" applyAlignment="1">
      <alignment horizontal="right" vertical="top" wrapText="1"/>
    </xf>
    <xf numFmtId="0" fontId="10" fillId="8" borderId="2" xfId="0" applyFont="1" applyFill="1" applyBorder="1" applyAlignment="1">
      <alignment horizontal="left" vertical="top" wrapText="1"/>
    </xf>
    <xf numFmtId="0" fontId="11" fillId="0" borderId="0" xfId="0" applyFont="1" applyAlignment="1">
      <alignment horizontal="center" vertical="center"/>
    </xf>
    <xf numFmtId="0" fontId="6" fillId="7" borderId="2" xfId="0" applyFont="1" applyFill="1" applyBorder="1" applyAlignment="1">
      <alignment horizontal="left" vertical="top" wrapText="1"/>
    </xf>
    <xf numFmtId="0" fontId="19" fillId="0" borderId="15" xfId="3" applyFont="1" applyBorder="1" applyAlignment="1" applyProtection="1">
      <alignment horizontal="center" vertical="center"/>
    </xf>
    <xf numFmtId="10" fontId="11" fillId="0" borderId="18" xfId="1" applyNumberFormat="1" applyFont="1" applyFill="1" applyBorder="1" applyAlignment="1">
      <alignment horizontal="right" vertical="center" wrapText="1"/>
    </xf>
    <xf numFmtId="0" fontId="6" fillId="7" borderId="18" xfId="0" applyFont="1" applyFill="1" applyBorder="1" applyAlignment="1">
      <alignment horizontal="left" vertical="top" wrapText="1"/>
    </xf>
    <xf numFmtId="0" fontId="6" fillId="7" borderId="18" xfId="0" applyFont="1" applyFill="1" applyBorder="1" applyAlignment="1">
      <alignment horizontal="right" vertical="top" wrapText="1"/>
    </xf>
    <xf numFmtId="4" fontId="6" fillId="7" borderId="18" xfId="0" applyNumberFormat="1" applyFont="1" applyFill="1" applyBorder="1" applyAlignment="1">
      <alignment horizontal="right" vertical="top" wrapText="1"/>
    </xf>
    <xf numFmtId="170" fontId="6" fillId="7" borderId="18" xfId="0" applyNumberFormat="1" applyFont="1" applyFill="1" applyBorder="1" applyAlignment="1">
      <alignment horizontal="right" vertical="top" wrapText="1"/>
    </xf>
    <xf numFmtId="43" fontId="6" fillId="19" borderId="18" xfId="1" applyNumberFormat="1" applyFont="1" applyFill="1" applyBorder="1" applyAlignment="1">
      <alignment horizontal="right" vertical="center" wrapText="1"/>
    </xf>
    <xf numFmtId="0" fontId="15" fillId="0" borderId="0" xfId="3" applyFont="1" applyFill="1" applyBorder="1" applyAlignment="1" applyProtection="1">
      <alignment horizontal="left" vertical="center" wrapText="1"/>
    </xf>
    <xf numFmtId="0" fontId="14" fillId="12" borderId="0" xfId="3" applyFont="1" applyFill="1" applyAlignment="1" applyProtection="1">
      <alignment horizontal="center"/>
    </xf>
    <xf numFmtId="0" fontId="15" fillId="12" borderId="0" xfId="3" applyFont="1" applyFill="1" applyBorder="1" applyAlignment="1" applyProtection="1">
      <alignment horizontal="left" vertical="center" wrapText="1"/>
    </xf>
    <xf numFmtId="0" fontId="15" fillId="12" borderId="0" xfId="3" applyFont="1" applyFill="1" applyBorder="1" applyAlignment="1" applyProtection="1">
      <alignment horizontal="center" vertical="center"/>
    </xf>
    <xf numFmtId="0" fontId="16" fillId="12" borderId="0" xfId="3" applyFont="1" applyFill="1" applyBorder="1" applyAlignment="1" applyProtection="1">
      <alignment horizontal="center" vertical="center" wrapText="1"/>
    </xf>
    <xf numFmtId="0" fontId="15" fillId="0" borderId="24" xfId="3" applyFont="1" applyBorder="1" applyAlignment="1" applyProtection="1">
      <alignment horizontal="left" vertical="top" wrapText="1"/>
    </xf>
    <xf numFmtId="44" fontId="16" fillId="20" borderId="23" xfId="5" applyFont="1" applyFill="1" applyBorder="1" applyAlignment="1" applyProtection="1">
      <alignment horizontal="center" vertical="center" wrapText="1"/>
    </xf>
    <xf numFmtId="44" fontId="16" fillId="20" borderId="25" xfId="5" applyFont="1" applyFill="1" applyBorder="1" applyAlignment="1" applyProtection="1">
      <alignment horizontal="center" vertical="center" wrapText="1"/>
    </xf>
    <xf numFmtId="0" fontId="16" fillId="20" borderId="23" xfId="3" applyFont="1" applyFill="1" applyBorder="1" applyAlignment="1" applyProtection="1">
      <alignment horizontal="center" vertical="center" wrapText="1"/>
    </xf>
    <xf numFmtId="0" fontId="16" fillId="20" borderId="24" xfId="3" applyFont="1" applyFill="1" applyBorder="1" applyAlignment="1" applyProtection="1">
      <alignment horizontal="center" vertical="center" wrapText="1"/>
    </xf>
    <xf numFmtId="0" fontId="16" fillId="20" borderId="25" xfId="3" applyFont="1" applyFill="1" applyBorder="1" applyAlignment="1" applyProtection="1">
      <alignment horizontal="center" vertical="center" wrapText="1"/>
    </xf>
    <xf numFmtId="0" fontId="28" fillId="0" borderId="0" xfId="3" applyFont="1" applyBorder="1" applyAlignment="1" applyProtection="1">
      <alignment horizontal="left" vertical="center" wrapText="1"/>
    </xf>
    <xf numFmtId="0" fontId="15" fillId="0" borderId="0" xfId="3" applyFont="1" applyBorder="1" applyAlignment="1" applyProtection="1">
      <alignment horizontal="left" vertical="top" wrapText="1"/>
    </xf>
    <xf numFmtId="167" fontId="16" fillId="20" borderId="18" xfId="4" applyNumberFormat="1" applyFont="1" applyFill="1" applyBorder="1" applyAlignment="1" applyProtection="1">
      <alignment horizontal="center" vertical="center" wrapText="1"/>
    </xf>
    <xf numFmtId="0" fontId="16" fillId="20" borderId="18" xfId="3" applyFont="1" applyFill="1" applyBorder="1" applyAlignment="1" applyProtection="1">
      <alignment horizontal="center" vertical="center" wrapText="1"/>
    </xf>
    <xf numFmtId="0" fontId="13" fillId="20" borderId="23" xfId="3" applyFont="1" applyFill="1" applyBorder="1" applyAlignment="1" applyProtection="1">
      <alignment horizontal="center" vertical="center" wrapText="1"/>
    </xf>
    <xf numFmtId="0" fontId="13" fillId="20" borderId="24" xfId="3" applyFont="1" applyFill="1" applyBorder="1" applyAlignment="1" applyProtection="1">
      <alignment horizontal="center" vertical="center" wrapText="1"/>
    </xf>
    <xf numFmtId="0" fontId="13" fillId="20" borderId="25" xfId="3" applyFont="1" applyFill="1" applyBorder="1" applyAlignment="1" applyProtection="1">
      <alignment horizontal="center" vertical="center" wrapText="1"/>
    </xf>
    <xf numFmtId="167" fontId="13" fillId="21" borderId="23" xfId="4" applyNumberFormat="1" applyFont="1" applyFill="1" applyBorder="1" applyAlignment="1" applyProtection="1">
      <alignment horizontal="center" vertical="center" wrapText="1"/>
      <protection locked="0"/>
    </xf>
    <xf numFmtId="167" fontId="13" fillId="21" borderId="25" xfId="4" applyNumberFormat="1" applyFont="1" applyFill="1" applyBorder="1" applyAlignment="1" applyProtection="1">
      <alignment horizontal="center" vertical="center" wrapText="1"/>
      <protection locked="0"/>
    </xf>
    <xf numFmtId="0" fontId="15" fillId="0" borderId="0" xfId="0" applyFont="1" applyAlignment="1">
      <alignment horizontal="right" vertical="center"/>
    </xf>
    <xf numFmtId="0" fontId="13" fillId="0" borderId="0" xfId="0" applyFont="1" applyAlignment="1">
      <alignment horizontal="center" vertical="center"/>
    </xf>
    <xf numFmtId="0" fontId="0" fillId="0" borderId="0" xfId="0" applyAlignment="1">
      <alignment horizontal="center" vertical="center"/>
    </xf>
    <xf numFmtId="0" fontId="22" fillId="0" borderId="0" xfId="0" applyFont="1" applyAlignment="1">
      <alignment horizontal="center" vertical="center"/>
    </xf>
    <xf numFmtId="0" fontId="11" fillId="6" borderId="2" xfId="0" applyFont="1" applyFill="1" applyBorder="1" applyAlignment="1">
      <alignment horizontal="left" vertical="top" wrapText="1"/>
    </xf>
    <xf numFmtId="0" fontId="11" fillId="10" borderId="0" xfId="0" applyFont="1" applyFill="1" applyAlignment="1">
      <alignment horizontal="right" vertical="top" wrapText="1"/>
    </xf>
    <xf numFmtId="0" fontId="11" fillId="5" borderId="2" xfId="0" applyFont="1" applyFill="1" applyBorder="1" applyAlignment="1">
      <alignment horizontal="left" vertical="top" wrapText="1"/>
    </xf>
    <xf numFmtId="0" fontId="2" fillId="10" borderId="2" xfId="0" applyFont="1" applyFill="1" applyBorder="1" applyAlignment="1">
      <alignment horizontal="left" vertical="top" wrapText="1"/>
    </xf>
    <xf numFmtId="0" fontId="10" fillId="8" borderId="2" xfId="0" applyFont="1" applyFill="1" applyBorder="1" applyAlignment="1">
      <alignment horizontal="left" vertical="top" wrapText="1"/>
    </xf>
    <xf numFmtId="0" fontId="6" fillId="7" borderId="2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center"/>
    </xf>
    <xf numFmtId="0" fontId="11" fillId="0" borderId="0" xfId="0" applyFont="1" applyAlignment="1">
      <alignment horizontal="center" vertical="center"/>
    </xf>
    <xf numFmtId="0" fontId="13" fillId="11" borderId="18" xfId="0" applyFont="1" applyFill="1" applyBorder="1" applyAlignment="1">
      <alignment horizontal="center" vertical="center"/>
    </xf>
    <xf numFmtId="0" fontId="9" fillId="11" borderId="22" xfId="0" applyFont="1" applyFill="1" applyBorder="1" applyAlignment="1">
      <alignment horizontal="left" vertical="center"/>
    </xf>
    <xf numFmtId="0" fontId="10" fillId="8" borderId="0" xfId="0" applyFont="1" applyFill="1" applyBorder="1" applyAlignment="1">
      <alignment horizontal="left" vertical="center"/>
    </xf>
    <xf numFmtId="0" fontId="11" fillId="5" borderId="0" xfId="0" applyFont="1" applyFill="1" applyBorder="1" applyAlignment="1">
      <alignment horizontal="left" vertical="center"/>
    </xf>
    <xf numFmtId="167" fontId="11" fillId="0" borderId="0" xfId="2" applyNumberFormat="1" applyFont="1" applyBorder="1" applyAlignment="1">
      <alignment horizontal="center"/>
    </xf>
    <xf numFmtId="0" fontId="9" fillId="11" borderId="0" xfId="0" applyFont="1" applyFill="1" applyBorder="1" applyAlignment="1">
      <alignment horizontal="left" vertical="center"/>
    </xf>
    <xf numFmtId="0" fontId="11" fillId="6" borderId="21" xfId="0" applyFont="1" applyFill="1" applyBorder="1" applyAlignment="1">
      <alignment horizontal="left" vertical="top"/>
    </xf>
    <xf numFmtId="0" fontId="0" fillId="0" borderId="21" xfId="0" applyBorder="1" applyAlignment="1">
      <alignment horizontal="center"/>
    </xf>
    <xf numFmtId="0" fontId="0" fillId="0" borderId="22" xfId="0" applyBorder="1" applyAlignment="1">
      <alignment horizontal="center"/>
    </xf>
    <xf numFmtId="0" fontId="11" fillId="0" borderId="22" xfId="0" applyFont="1" applyBorder="1" applyAlignment="1">
      <alignment horizontal="center" vertical="center"/>
    </xf>
    <xf numFmtId="0" fontId="0" fillId="0" borderId="0" xfId="0" applyFill="1" applyBorder="1" applyAlignment="1">
      <alignment horizontal="center" vertical="center"/>
    </xf>
    <xf numFmtId="0" fontId="13" fillId="0" borderId="0" xfId="0" applyFont="1" applyFill="1" applyBorder="1" applyAlignment="1">
      <alignment horizontal="center" vertical="center"/>
    </xf>
    <xf numFmtId="0" fontId="22" fillId="0" borderId="0" xfId="0" applyFont="1" applyFill="1" applyBorder="1" applyAlignment="1">
      <alignment horizontal="center" vertical="center"/>
    </xf>
    <xf numFmtId="0" fontId="15" fillId="0" borderId="0" xfId="0" applyFont="1" applyFill="1" applyBorder="1" applyAlignment="1">
      <alignment horizontal="right" vertical="center"/>
    </xf>
    <xf numFmtId="0" fontId="0" fillId="0" borderId="20" xfId="0" applyBorder="1" applyAlignment="1">
      <alignment horizontal="center"/>
    </xf>
    <xf numFmtId="0" fontId="2" fillId="10" borderId="32" xfId="0" applyFont="1" applyFill="1" applyBorder="1" applyAlignment="1">
      <alignment horizontal="left" vertical="top" wrapText="1"/>
    </xf>
    <xf numFmtId="0" fontId="2" fillId="10" borderId="33" xfId="0" applyFont="1" applyFill="1" applyBorder="1" applyAlignment="1">
      <alignment horizontal="left" vertical="top" wrapText="1"/>
    </xf>
    <xf numFmtId="0" fontId="11" fillId="6" borderId="0" xfId="0" applyFont="1" applyFill="1" applyBorder="1" applyAlignment="1">
      <alignment horizontal="left" vertical="top"/>
    </xf>
    <xf numFmtId="0" fontId="0" fillId="0" borderId="0" xfId="0" applyAlignment="1">
      <alignment horizontal="center"/>
    </xf>
    <xf numFmtId="0" fontId="13" fillId="0" borderId="0" xfId="0" applyFont="1" applyAlignment="1">
      <alignment horizontal="center"/>
    </xf>
    <xf numFmtId="0" fontId="15" fillId="13" borderId="4" xfId="3" applyFont="1" applyFill="1" applyBorder="1" applyAlignment="1" applyProtection="1">
      <alignment horizontal="center" vertical="center"/>
    </xf>
    <xf numFmtId="0" fontId="15" fillId="13" borderId="5" xfId="3" applyFont="1" applyFill="1" applyBorder="1" applyAlignment="1" applyProtection="1">
      <alignment horizontal="center" vertical="center"/>
    </xf>
    <xf numFmtId="0" fontId="19" fillId="0" borderId="15" xfId="3" applyFont="1" applyBorder="1" applyAlignment="1" applyProtection="1">
      <alignment horizontal="center" vertical="center"/>
    </xf>
    <xf numFmtId="0" fontId="19" fillId="0" borderId="10" xfId="3" applyFont="1" applyBorder="1" applyAlignment="1" applyProtection="1">
      <alignment horizontal="center" vertical="center"/>
    </xf>
    <xf numFmtId="0" fontId="15" fillId="12" borderId="0" xfId="3" applyFont="1" applyFill="1" applyBorder="1" applyAlignment="1" applyProtection="1">
      <alignment horizontal="center" vertical="center"/>
      <protection locked="0"/>
    </xf>
    <xf numFmtId="0" fontId="14" fillId="12" borderId="0" xfId="3" applyFont="1" applyFill="1" applyAlignment="1" applyProtection="1">
      <alignment horizontal="center"/>
      <protection locked="0"/>
    </xf>
    <xf numFmtId="0" fontId="13" fillId="12" borderId="0" xfId="3" applyFont="1" applyFill="1" applyBorder="1" applyAlignment="1" applyProtection="1">
      <alignment horizontal="center" vertical="center" wrapText="1"/>
      <protection locked="0"/>
    </xf>
    <xf numFmtId="0" fontId="15" fillId="0" borderId="7" xfId="3" applyFont="1" applyBorder="1" applyAlignment="1" applyProtection="1">
      <alignment horizontal="center" vertical="center"/>
    </xf>
    <xf numFmtId="0" fontId="15" fillId="0" borderId="10" xfId="3" applyFont="1" applyBorder="1" applyAlignment="1" applyProtection="1">
      <alignment horizontal="center" vertical="center"/>
    </xf>
    <xf numFmtId="0" fontId="14" fillId="0" borderId="3" xfId="3" applyFont="1" applyFill="1" applyBorder="1" applyAlignment="1" applyProtection="1">
      <alignment horizontal="center"/>
    </xf>
    <xf numFmtId="0" fontId="14" fillId="0" borderId="4" xfId="3" applyFont="1" applyFill="1" applyBorder="1" applyAlignment="1" applyProtection="1">
      <alignment horizontal="center"/>
    </xf>
    <xf numFmtId="0" fontId="14" fillId="0" borderId="5" xfId="3" applyFont="1" applyFill="1" applyBorder="1" applyAlignment="1" applyProtection="1">
      <alignment horizontal="center"/>
    </xf>
    <xf numFmtId="49" fontId="22" fillId="16" borderId="18" xfId="3" applyNumberFormat="1" applyFont="1" applyFill="1" applyBorder="1" applyAlignment="1" applyProtection="1">
      <alignment horizontal="center" vertical="center"/>
    </xf>
    <xf numFmtId="0" fontId="22" fillId="16" borderId="18" xfId="3" applyFont="1" applyFill="1" applyBorder="1" applyAlignment="1" applyProtection="1">
      <alignment horizontal="left" vertical="center" wrapText="1"/>
    </xf>
    <xf numFmtId="169" fontId="16" fillId="0" borderId="18" xfId="5" applyNumberFormat="1" applyFont="1" applyFill="1" applyBorder="1" applyAlignment="1" applyProtection="1">
      <alignment horizontal="center" vertical="center"/>
    </xf>
    <xf numFmtId="49" fontId="22" fillId="17" borderId="19" xfId="3" applyNumberFormat="1" applyFont="1" applyFill="1" applyBorder="1" applyAlignment="1" applyProtection="1">
      <alignment horizontal="center" vertical="center"/>
    </xf>
    <xf numFmtId="49" fontId="22" fillId="17" borderId="18" xfId="3" applyNumberFormat="1" applyFont="1" applyFill="1" applyBorder="1" applyAlignment="1" applyProtection="1">
      <alignment horizontal="center" vertical="center"/>
    </xf>
    <xf numFmtId="0" fontId="22" fillId="17" borderId="19" xfId="3" applyFont="1" applyFill="1" applyBorder="1" applyAlignment="1" applyProtection="1">
      <alignment horizontal="left" vertical="center" wrapText="1"/>
    </xf>
    <xf numFmtId="0" fontId="22" fillId="17" borderId="18" xfId="3" applyFont="1" applyFill="1" applyBorder="1" applyAlignment="1" applyProtection="1">
      <alignment horizontal="left" vertical="center" wrapText="1"/>
    </xf>
    <xf numFmtId="169" fontId="16" fillId="18" borderId="19" xfId="5" applyNumberFormat="1" applyFont="1" applyFill="1" applyBorder="1" applyAlignment="1" applyProtection="1">
      <alignment horizontal="center" vertical="center"/>
    </xf>
    <xf numFmtId="169" fontId="16" fillId="18" borderId="18" xfId="5" applyNumberFormat="1" applyFont="1" applyFill="1" applyBorder="1" applyAlignment="1" applyProtection="1">
      <alignment horizontal="center" vertical="center"/>
    </xf>
    <xf numFmtId="49" fontId="22" fillId="0" borderId="0" xfId="3" applyNumberFormat="1" applyFont="1" applyFill="1" applyBorder="1" applyAlignment="1" applyProtection="1">
      <alignment horizontal="center" vertical="center"/>
    </xf>
    <xf numFmtId="39" fontId="16" fillId="18" borderId="18" xfId="3" applyNumberFormat="1" applyFont="1" applyFill="1" applyBorder="1" applyAlignment="1" applyProtection="1">
      <alignment horizontal="center" vertical="center"/>
    </xf>
    <xf numFmtId="0" fontId="13" fillId="0" borderId="0" xfId="3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3" applyNumberFormat="1" applyFont="1" applyFill="1" applyBorder="1" applyAlignment="1" applyProtection="1">
      <alignment horizontal="center" vertical="center" wrapText="1"/>
      <protection locked="0"/>
    </xf>
  </cellXfs>
  <cellStyles count="8">
    <cellStyle name="Moeda 2" xfId="5"/>
    <cellStyle name="Normal" xfId="0" builtinId="0"/>
    <cellStyle name="Normal 2" xfId="3"/>
    <cellStyle name="Porcentagem" xfId="2" builtinId="5"/>
    <cellStyle name="Porcentagem 2" xfId="4"/>
    <cellStyle name="Porcentagem 3" xfId="6"/>
    <cellStyle name="Vírgula" xfId="1" builtinId="3"/>
    <cellStyle name="Vírgula 2" xfId="7"/>
  </cellStyles>
  <dxfs count="2">
    <dxf>
      <fill>
        <patternFill>
          <bgColor theme="4" tint="0.39994506668294322"/>
        </patternFill>
      </fill>
    </dxf>
    <dxf>
      <fill>
        <patternFill>
          <bgColor theme="4" tint="0.39994506668294322"/>
        </patternFill>
      </fill>
    </dxf>
  </dxfs>
  <tableStyles count="0" defaultTableStyle="TableStyleMedium9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4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5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6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_rels/drawing7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76199</xdr:colOff>
      <xdr:row>0</xdr:row>
      <xdr:rowOff>85724</xdr:rowOff>
    </xdr:from>
    <xdr:to>
      <xdr:col>1</xdr:col>
      <xdr:colOff>111524</xdr:colOff>
      <xdr:row>3</xdr:row>
      <xdr:rowOff>67949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85724"/>
          <a:ext cx="1778400" cy="468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3771899</xdr:colOff>
      <xdr:row>0</xdr:row>
      <xdr:rowOff>47625</xdr:rowOff>
    </xdr:from>
    <xdr:to>
      <xdr:col>3</xdr:col>
      <xdr:colOff>1123314</xdr:colOff>
      <xdr:row>2</xdr:row>
      <xdr:rowOff>155775</xdr:rowOff>
    </xdr:to>
    <xdr:pic>
      <xdr:nvPicPr>
        <xdr:cNvPr id="3" name="Imagem 1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14974" y="47625"/>
          <a:ext cx="187579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57150</xdr:colOff>
      <xdr:row>0</xdr:row>
      <xdr:rowOff>47624</xdr:rowOff>
    </xdr:from>
    <xdr:to>
      <xdr:col>1</xdr:col>
      <xdr:colOff>1048143</xdr:colOff>
      <xdr:row>2</xdr:row>
      <xdr:rowOff>170624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50" y="47624"/>
          <a:ext cx="1800618" cy="504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7</xdr:col>
      <xdr:colOff>1181100</xdr:colOff>
      <xdr:row>0</xdr:row>
      <xdr:rowOff>28575</xdr:rowOff>
    </xdr:from>
    <xdr:to>
      <xdr:col>9</xdr:col>
      <xdr:colOff>1162050</xdr:colOff>
      <xdr:row>2</xdr:row>
      <xdr:rowOff>188768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420475" y="28575"/>
          <a:ext cx="2362200" cy="54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57149</xdr:colOff>
      <xdr:row>0</xdr:row>
      <xdr:rowOff>47623</xdr:rowOff>
    </xdr:from>
    <xdr:to>
      <xdr:col>2</xdr:col>
      <xdr:colOff>181365</xdr:colOff>
      <xdr:row>2</xdr:row>
      <xdr:rowOff>170623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7149" y="47623"/>
          <a:ext cx="1800616" cy="504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7</xdr:col>
      <xdr:colOff>581025</xdr:colOff>
      <xdr:row>0</xdr:row>
      <xdr:rowOff>38100</xdr:rowOff>
    </xdr:from>
    <xdr:to>
      <xdr:col>9</xdr:col>
      <xdr:colOff>1038225</xdr:colOff>
      <xdr:row>3</xdr:row>
      <xdr:rowOff>7793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563225" y="38100"/>
          <a:ext cx="2362200" cy="541193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76199</xdr:colOff>
      <xdr:row>0</xdr:row>
      <xdr:rowOff>66673</xdr:rowOff>
    </xdr:from>
    <xdr:to>
      <xdr:col>2</xdr:col>
      <xdr:colOff>200418</xdr:colOff>
      <xdr:row>2</xdr:row>
      <xdr:rowOff>189673</xdr:rowOff>
    </xdr:to>
    <xdr:pic>
      <xdr:nvPicPr>
        <xdr:cNvPr id="6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199" y="66673"/>
          <a:ext cx="1800619" cy="504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7</xdr:col>
      <xdr:colOff>504825</xdr:colOff>
      <xdr:row>0</xdr:row>
      <xdr:rowOff>28575</xdr:rowOff>
    </xdr:from>
    <xdr:to>
      <xdr:col>9</xdr:col>
      <xdr:colOff>949812</xdr:colOff>
      <xdr:row>2</xdr:row>
      <xdr:rowOff>187575</xdr:rowOff>
    </xdr:to>
    <xdr:pic>
      <xdr:nvPicPr>
        <xdr:cNvPr id="8" name="Imagem 7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487025" y="28575"/>
          <a:ext cx="2273787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47624</xdr:colOff>
      <xdr:row>0</xdr:row>
      <xdr:rowOff>47625</xdr:rowOff>
    </xdr:from>
    <xdr:to>
      <xdr:col>1</xdr:col>
      <xdr:colOff>736764</xdr:colOff>
      <xdr:row>2</xdr:row>
      <xdr:rowOff>171450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4" y="47625"/>
          <a:ext cx="1803565" cy="504825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1066800</xdr:colOff>
      <xdr:row>0</xdr:row>
      <xdr:rowOff>38100</xdr:rowOff>
    </xdr:from>
    <xdr:to>
      <xdr:col>8</xdr:col>
      <xdr:colOff>962398</xdr:colOff>
      <xdr:row>3</xdr:row>
      <xdr:rowOff>6600</xdr:rowOff>
    </xdr:to>
    <xdr:pic>
      <xdr:nvPicPr>
        <xdr:cNvPr id="3" name="Imagem 2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953750" y="38100"/>
          <a:ext cx="2276848" cy="540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47626</xdr:colOff>
      <xdr:row>0</xdr:row>
      <xdr:rowOff>47625</xdr:rowOff>
    </xdr:from>
    <xdr:to>
      <xdr:col>0</xdr:col>
      <xdr:colOff>1668349</xdr:colOff>
      <xdr:row>2</xdr:row>
      <xdr:rowOff>157240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7626" y="47625"/>
          <a:ext cx="1620723" cy="432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1</xdr:col>
      <xdr:colOff>3779227</xdr:colOff>
      <xdr:row>0</xdr:row>
      <xdr:rowOff>28575</xdr:rowOff>
    </xdr:from>
    <xdr:to>
      <xdr:col>3</xdr:col>
      <xdr:colOff>1120529</xdr:colOff>
      <xdr:row>2</xdr:row>
      <xdr:rowOff>138190</xdr:rowOff>
    </xdr:to>
    <xdr:pic>
      <xdr:nvPicPr>
        <xdr:cNvPr id="3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5523035" y="28575"/>
          <a:ext cx="1869340" cy="43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79620</xdr:colOff>
      <xdr:row>0</xdr:row>
      <xdr:rowOff>62953</xdr:rowOff>
    </xdr:from>
    <xdr:to>
      <xdr:col>1</xdr:col>
      <xdr:colOff>1731934</xdr:colOff>
      <xdr:row>3</xdr:row>
      <xdr:rowOff>103453</xdr:rowOff>
    </xdr:to>
    <xdr:pic>
      <xdr:nvPicPr>
        <xdr:cNvPr id="2" name="Picture 1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9620" y="62953"/>
          <a:ext cx="2302255" cy="612000"/>
        </a:xfrm>
        <a:prstGeom prst="rect">
          <a:avLst/>
        </a:prstGeom>
        <a:solidFill>
          <a:srgbClr val="FFFFFF"/>
        </a:solidFill>
        <a:ln>
          <a:noFill/>
        </a:ln>
        <a:effectLst/>
        <a:extLs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round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pic>
    <xdr:clientData/>
  </xdr:twoCellAnchor>
  <xdr:twoCellAnchor editAs="absolute">
    <xdr:from>
      <xdr:col>6</xdr:col>
      <xdr:colOff>951746</xdr:colOff>
      <xdr:row>0</xdr:row>
      <xdr:rowOff>146798</xdr:rowOff>
    </xdr:from>
    <xdr:to>
      <xdr:col>8</xdr:col>
      <xdr:colOff>878106</xdr:colOff>
      <xdr:row>3</xdr:row>
      <xdr:rowOff>187298</xdr:rowOff>
    </xdr:to>
    <xdr:pic>
      <xdr:nvPicPr>
        <xdr:cNvPr id="3" name="Imagem 3"/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698187" y="146798"/>
          <a:ext cx="2683007" cy="6120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8"/>
  <dimension ref="A1:E22"/>
  <sheetViews>
    <sheetView showGridLines="0" view="pageBreakPreview" zoomScaleNormal="100" zoomScaleSheetLayoutView="100" workbookViewId="0">
      <selection activeCell="A7" sqref="A7:D7"/>
    </sheetView>
  </sheetViews>
  <sheetFormatPr defaultColWidth="7.875" defaultRowHeight="12.75" x14ac:dyDescent="0.2"/>
  <cols>
    <col min="1" max="1" width="22.875" style="13" customWidth="1"/>
    <col min="2" max="2" width="49.875" style="13" customWidth="1"/>
    <col min="3" max="3" width="9.5" style="13" customWidth="1"/>
    <col min="4" max="4" width="15.125" style="39" customWidth="1"/>
    <col min="5" max="256" width="7.875" style="13"/>
    <col min="257" max="257" width="22.875" style="13" customWidth="1"/>
    <col min="258" max="258" width="49.875" style="13" customWidth="1"/>
    <col min="259" max="259" width="9.5" style="13" customWidth="1"/>
    <col min="260" max="260" width="15.125" style="13" customWidth="1"/>
    <col min="261" max="512" width="7.875" style="13"/>
    <col min="513" max="513" width="22.875" style="13" customWidth="1"/>
    <col min="514" max="514" width="49.875" style="13" customWidth="1"/>
    <col min="515" max="515" width="9.5" style="13" customWidth="1"/>
    <col min="516" max="516" width="15.125" style="13" customWidth="1"/>
    <col min="517" max="768" width="7.875" style="13"/>
    <col min="769" max="769" width="22.875" style="13" customWidth="1"/>
    <col min="770" max="770" width="49.875" style="13" customWidth="1"/>
    <col min="771" max="771" width="9.5" style="13" customWidth="1"/>
    <col min="772" max="772" width="15.125" style="13" customWidth="1"/>
    <col min="773" max="1024" width="7.875" style="13"/>
    <col min="1025" max="1025" width="22.875" style="13" customWidth="1"/>
    <col min="1026" max="1026" width="49.875" style="13" customWidth="1"/>
    <col min="1027" max="1027" width="9.5" style="13" customWidth="1"/>
    <col min="1028" max="1028" width="15.125" style="13" customWidth="1"/>
    <col min="1029" max="1280" width="7.875" style="13"/>
    <col min="1281" max="1281" width="22.875" style="13" customWidth="1"/>
    <col min="1282" max="1282" width="49.875" style="13" customWidth="1"/>
    <col min="1283" max="1283" width="9.5" style="13" customWidth="1"/>
    <col min="1284" max="1284" width="15.125" style="13" customWidth="1"/>
    <col min="1285" max="1536" width="7.875" style="13"/>
    <col min="1537" max="1537" width="22.875" style="13" customWidth="1"/>
    <col min="1538" max="1538" width="49.875" style="13" customWidth="1"/>
    <col min="1539" max="1539" width="9.5" style="13" customWidth="1"/>
    <col min="1540" max="1540" width="15.125" style="13" customWidth="1"/>
    <col min="1541" max="1792" width="7.875" style="13"/>
    <col min="1793" max="1793" width="22.875" style="13" customWidth="1"/>
    <col min="1794" max="1794" width="49.875" style="13" customWidth="1"/>
    <col min="1795" max="1795" width="9.5" style="13" customWidth="1"/>
    <col min="1796" max="1796" width="15.125" style="13" customWidth="1"/>
    <col min="1797" max="2048" width="7.875" style="13"/>
    <col min="2049" max="2049" width="22.875" style="13" customWidth="1"/>
    <col min="2050" max="2050" width="49.875" style="13" customWidth="1"/>
    <col min="2051" max="2051" width="9.5" style="13" customWidth="1"/>
    <col min="2052" max="2052" width="15.125" style="13" customWidth="1"/>
    <col min="2053" max="2304" width="7.875" style="13"/>
    <col min="2305" max="2305" width="22.875" style="13" customWidth="1"/>
    <col min="2306" max="2306" width="49.875" style="13" customWidth="1"/>
    <col min="2307" max="2307" width="9.5" style="13" customWidth="1"/>
    <col min="2308" max="2308" width="15.125" style="13" customWidth="1"/>
    <col min="2309" max="2560" width="7.875" style="13"/>
    <col min="2561" max="2561" width="22.875" style="13" customWidth="1"/>
    <col min="2562" max="2562" width="49.875" style="13" customWidth="1"/>
    <col min="2563" max="2563" width="9.5" style="13" customWidth="1"/>
    <col min="2564" max="2564" width="15.125" style="13" customWidth="1"/>
    <col min="2565" max="2816" width="7.875" style="13"/>
    <col min="2817" max="2817" width="22.875" style="13" customWidth="1"/>
    <col min="2818" max="2818" width="49.875" style="13" customWidth="1"/>
    <col min="2819" max="2819" width="9.5" style="13" customWidth="1"/>
    <col min="2820" max="2820" width="15.125" style="13" customWidth="1"/>
    <col min="2821" max="3072" width="7.875" style="13"/>
    <col min="3073" max="3073" width="22.875" style="13" customWidth="1"/>
    <col min="3074" max="3074" width="49.875" style="13" customWidth="1"/>
    <col min="3075" max="3075" width="9.5" style="13" customWidth="1"/>
    <col min="3076" max="3076" width="15.125" style="13" customWidth="1"/>
    <col min="3077" max="3328" width="7.875" style="13"/>
    <col min="3329" max="3329" width="22.875" style="13" customWidth="1"/>
    <col min="3330" max="3330" width="49.875" style="13" customWidth="1"/>
    <col min="3331" max="3331" width="9.5" style="13" customWidth="1"/>
    <col min="3332" max="3332" width="15.125" style="13" customWidth="1"/>
    <col min="3333" max="3584" width="7.875" style="13"/>
    <col min="3585" max="3585" width="22.875" style="13" customWidth="1"/>
    <col min="3586" max="3586" width="49.875" style="13" customWidth="1"/>
    <col min="3587" max="3587" width="9.5" style="13" customWidth="1"/>
    <col min="3588" max="3588" width="15.125" style="13" customWidth="1"/>
    <col min="3589" max="3840" width="7.875" style="13"/>
    <col min="3841" max="3841" width="22.875" style="13" customWidth="1"/>
    <col min="3842" max="3842" width="49.875" style="13" customWidth="1"/>
    <col min="3843" max="3843" width="9.5" style="13" customWidth="1"/>
    <col min="3844" max="3844" width="15.125" style="13" customWidth="1"/>
    <col min="3845" max="4096" width="7.875" style="13"/>
    <col min="4097" max="4097" width="22.875" style="13" customWidth="1"/>
    <col min="4098" max="4098" width="49.875" style="13" customWidth="1"/>
    <col min="4099" max="4099" width="9.5" style="13" customWidth="1"/>
    <col min="4100" max="4100" width="15.125" style="13" customWidth="1"/>
    <col min="4101" max="4352" width="7.875" style="13"/>
    <col min="4353" max="4353" width="22.875" style="13" customWidth="1"/>
    <col min="4354" max="4354" width="49.875" style="13" customWidth="1"/>
    <col min="4355" max="4355" width="9.5" style="13" customWidth="1"/>
    <col min="4356" max="4356" width="15.125" style="13" customWidth="1"/>
    <col min="4357" max="4608" width="7.875" style="13"/>
    <col min="4609" max="4609" width="22.875" style="13" customWidth="1"/>
    <col min="4610" max="4610" width="49.875" style="13" customWidth="1"/>
    <col min="4611" max="4611" width="9.5" style="13" customWidth="1"/>
    <col min="4612" max="4612" width="15.125" style="13" customWidth="1"/>
    <col min="4613" max="4864" width="7.875" style="13"/>
    <col min="4865" max="4865" width="22.875" style="13" customWidth="1"/>
    <col min="4866" max="4866" width="49.875" style="13" customWidth="1"/>
    <col min="4867" max="4867" width="9.5" style="13" customWidth="1"/>
    <col min="4868" max="4868" width="15.125" style="13" customWidth="1"/>
    <col min="4869" max="5120" width="7.875" style="13"/>
    <col min="5121" max="5121" width="22.875" style="13" customWidth="1"/>
    <col min="5122" max="5122" width="49.875" style="13" customWidth="1"/>
    <col min="5123" max="5123" width="9.5" style="13" customWidth="1"/>
    <col min="5124" max="5124" width="15.125" style="13" customWidth="1"/>
    <col min="5125" max="5376" width="7.875" style="13"/>
    <col min="5377" max="5377" width="22.875" style="13" customWidth="1"/>
    <col min="5378" max="5378" width="49.875" style="13" customWidth="1"/>
    <col min="5379" max="5379" width="9.5" style="13" customWidth="1"/>
    <col min="5380" max="5380" width="15.125" style="13" customWidth="1"/>
    <col min="5381" max="5632" width="7.875" style="13"/>
    <col min="5633" max="5633" width="22.875" style="13" customWidth="1"/>
    <col min="5634" max="5634" width="49.875" style="13" customWidth="1"/>
    <col min="5635" max="5635" width="9.5" style="13" customWidth="1"/>
    <col min="5636" max="5636" width="15.125" style="13" customWidth="1"/>
    <col min="5637" max="5888" width="7.875" style="13"/>
    <col min="5889" max="5889" width="22.875" style="13" customWidth="1"/>
    <col min="5890" max="5890" width="49.875" style="13" customWidth="1"/>
    <col min="5891" max="5891" width="9.5" style="13" customWidth="1"/>
    <col min="5892" max="5892" width="15.125" style="13" customWidth="1"/>
    <col min="5893" max="6144" width="7.875" style="13"/>
    <col min="6145" max="6145" width="22.875" style="13" customWidth="1"/>
    <col min="6146" max="6146" width="49.875" style="13" customWidth="1"/>
    <col min="6147" max="6147" width="9.5" style="13" customWidth="1"/>
    <col min="6148" max="6148" width="15.125" style="13" customWidth="1"/>
    <col min="6149" max="6400" width="7.875" style="13"/>
    <col min="6401" max="6401" width="22.875" style="13" customWidth="1"/>
    <col min="6402" max="6402" width="49.875" style="13" customWidth="1"/>
    <col min="6403" max="6403" width="9.5" style="13" customWidth="1"/>
    <col min="6404" max="6404" width="15.125" style="13" customWidth="1"/>
    <col min="6405" max="6656" width="7.875" style="13"/>
    <col min="6657" max="6657" width="22.875" style="13" customWidth="1"/>
    <col min="6658" max="6658" width="49.875" style="13" customWidth="1"/>
    <col min="6659" max="6659" width="9.5" style="13" customWidth="1"/>
    <col min="6660" max="6660" width="15.125" style="13" customWidth="1"/>
    <col min="6661" max="6912" width="7.875" style="13"/>
    <col min="6913" max="6913" width="22.875" style="13" customWidth="1"/>
    <col min="6914" max="6914" width="49.875" style="13" customWidth="1"/>
    <col min="6915" max="6915" width="9.5" style="13" customWidth="1"/>
    <col min="6916" max="6916" width="15.125" style="13" customWidth="1"/>
    <col min="6917" max="7168" width="7.875" style="13"/>
    <col min="7169" max="7169" width="22.875" style="13" customWidth="1"/>
    <col min="7170" max="7170" width="49.875" style="13" customWidth="1"/>
    <col min="7171" max="7171" width="9.5" style="13" customWidth="1"/>
    <col min="7172" max="7172" width="15.125" style="13" customWidth="1"/>
    <col min="7173" max="7424" width="7.875" style="13"/>
    <col min="7425" max="7425" width="22.875" style="13" customWidth="1"/>
    <col min="7426" max="7426" width="49.875" style="13" customWidth="1"/>
    <col min="7427" max="7427" width="9.5" style="13" customWidth="1"/>
    <col min="7428" max="7428" width="15.125" style="13" customWidth="1"/>
    <col min="7429" max="7680" width="7.875" style="13"/>
    <col min="7681" max="7681" width="22.875" style="13" customWidth="1"/>
    <col min="7682" max="7682" width="49.875" style="13" customWidth="1"/>
    <col min="7683" max="7683" width="9.5" style="13" customWidth="1"/>
    <col min="7684" max="7684" width="15.125" style="13" customWidth="1"/>
    <col min="7685" max="7936" width="7.875" style="13"/>
    <col min="7937" max="7937" width="22.875" style="13" customWidth="1"/>
    <col min="7938" max="7938" width="49.875" style="13" customWidth="1"/>
    <col min="7939" max="7939" width="9.5" style="13" customWidth="1"/>
    <col min="7940" max="7940" width="15.125" style="13" customWidth="1"/>
    <col min="7941" max="8192" width="7.875" style="13"/>
    <col min="8193" max="8193" width="22.875" style="13" customWidth="1"/>
    <col min="8194" max="8194" width="49.875" style="13" customWidth="1"/>
    <col min="8195" max="8195" width="9.5" style="13" customWidth="1"/>
    <col min="8196" max="8196" width="15.125" style="13" customWidth="1"/>
    <col min="8197" max="8448" width="7.875" style="13"/>
    <col min="8449" max="8449" width="22.875" style="13" customWidth="1"/>
    <col min="8450" max="8450" width="49.875" style="13" customWidth="1"/>
    <col min="8451" max="8451" width="9.5" style="13" customWidth="1"/>
    <col min="8452" max="8452" width="15.125" style="13" customWidth="1"/>
    <col min="8453" max="8704" width="7.875" style="13"/>
    <col min="8705" max="8705" width="22.875" style="13" customWidth="1"/>
    <col min="8706" max="8706" width="49.875" style="13" customWidth="1"/>
    <col min="8707" max="8707" width="9.5" style="13" customWidth="1"/>
    <col min="8708" max="8708" width="15.125" style="13" customWidth="1"/>
    <col min="8709" max="8960" width="7.875" style="13"/>
    <col min="8961" max="8961" width="22.875" style="13" customWidth="1"/>
    <col min="8962" max="8962" width="49.875" style="13" customWidth="1"/>
    <col min="8963" max="8963" width="9.5" style="13" customWidth="1"/>
    <col min="8964" max="8964" width="15.125" style="13" customWidth="1"/>
    <col min="8965" max="9216" width="7.875" style="13"/>
    <col min="9217" max="9217" width="22.875" style="13" customWidth="1"/>
    <col min="9218" max="9218" width="49.875" style="13" customWidth="1"/>
    <col min="9219" max="9219" width="9.5" style="13" customWidth="1"/>
    <col min="9220" max="9220" width="15.125" style="13" customWidth="1"/>
    <col min="9221" max="9472" width="7.875" style="13"/>
    <col min="9473" max="9473" width="22.875" style="13" customWidth="1"/>
    <col min="9474" max="9474" width="49.875" style="13" customWidth="1"/>
    <col min="9475" max="9475" width="9.5" style="13" customWidth="1"/>
    <col min="9476" max="9476" width="15.125" style="13" customWidth="1"/>
    <col min="9477" max="9728" width="7.875" style="13"/>
    <col min="9729" max="9729" width="22.875" style="13" customWidth="1"/>
    <col min="9730" max="9730" width="49.875" style="13" customWidth="1"/>
    <col min="9731" max="9731" width="9.5" style="13" customWidth="1"/>
    <col min="9732" max="9732" width="15.125" style="13" customWidth="1"/>
    <col min="9733" max="9984" width="7.875" style="13"/>
    <col min="9985" max="9985" width="22.875" style="13" customWidth="1"/>
    <col min="9986" max="9986" width="49.875" style="13" customWidth="1"/>
    <col min="9987" max="9987" width="9.5" style="13" customWidth="1"/>
    <col min="9988" max="9988" width="15.125" style="13" customWidth="1"/>
    <col min="9989" max="10240" width="7.875" style="13"/>
    <col min="10241" max="10241" width="22.875" style="13" customWidth="1"/>
    <col min="10242" max="10242" width="49.875" style="13" customWidth="1"/>
    <col min="10243" max="10243" width="9.5" style="13" customWidth="1"/>
    <col min="10244" max="10244" width="15.125" style="13" customWidth="1"/>
    <col min="10245" max="10496" width="7.875" style="13"/>
    <col min="10497" max="10497" width="22.875" style="13" customWidth="1"/>
    <col min="10498" max="10498" width="49.875" style="13" customWidth="1"/>
    <col min="10499" max="10499" width="9.5" style="13" customWidth="1"/>
    <col min="10500" max="10500" width="15.125" style="13" customWidth="1"/>
    <col min="10501" max="10752" width="7.875" style="13"/>
    <col min="10753" max="10753" width="22.875" style="13" customWidth="1"/>
    <col min="10754" max="10754" width="49.875" style="13" customWidth="1"/>
    <col min="10755" max="10755" width="9.5" style="13" customWidth="1"/>
    <col min="10756" max="10756" width="15.125" style="13" customWidth="1"/>
    <col min="10757" max="11008" width="7.875" style="13"/>
    <col min="11009" max="11009" width="22.875" style="13" customWidth="1"/>
    <col min="11010" max="11010" width="49.875" style="13" customWidth="1"/>
    <col min="11011" max="11011" width="9.5" style="13" customWidth="1"/>
    <col min="11012" max="11012" width="15.125" style="13" customWidth="1"/>
    <col min="11013" max="11264" width="7.875" style="13"/>
    <col min="11265" max="11265" width="22.875" style="13" customWidth="1"/>
    <col min="11266" max="11266" width="49.875" style="13" customWidth="1"/>
    <col min="11267" max="11267" width="9.5" style="13" customWidth="1"/>
    <col min="11268" max="11268" width="15.125" style="13" customWidth="1"/>
    <col min="11269" max="11520" width="7.875" style="13"/>
    <col min="11521" max="11521" width="22.875" style="13" customWidth="1"/>
    <col min="11522" max="11522" width="49.875" style="13" customWidth="1"/>
    <col min="11523" max="11523" width="9.5" style="13" customWidth="1"/>
    <col min="11524" max="11524" width="15.125" style="13" customWidth="1"/>
    <col min="11525" max="11776" width="7.875" style="13"/>
    <col min="11777" max="11777" width="22.875" style="13" customWidth="1"/>
    <col min="11778" max="11778" width="49.875" style="13" customWidth="1"/>
    <col min="11779" max="11779" width="9.5" style="13" customWidth="1"/>
    <col min="11780" max="11780" width="15.125" style="13" customWidth="1"/>
    <col min="11781" max="12032" width="7.875" style="13"/>
    <col min="12033" max="12033" width="22.875" style="13" customWidth="1"/>
    <col min="12034" max="12034" width="49.875" style="13" customWidth="1"/>
    <col min="12035" max="12035" width="9.5" style="13" customWidth="1"/>
    <col min="12036" max="12036" width="15.125" style="13" customWidth="1"/>
    <col min="12037" max="12288" width="7.875" style="13"/>
    <col min="12289" max="12289" width="22.875" style="13" customWidth="1"/>
    <col min="12290" max="12290" width="49.875" style="13" customWidth="1"/>
    <col min="12291" max="12291" width="9.5" style="13" customWidth="1"/>
    <col min="12292" max="12292" width="15.125" style="13" customWidth="1"/>
    <col min="12293" max="12544" width="7.875" style="13"/>
    <col min="12545" max="12545" width="22.875" style="13" customWidth="1"/>
    <col min="12546" max="12546" width="49.875" style="13" customWidth="1"/>
    <col min="12547" max="12547" width="9.5" style="13" customWidth="1"/>
    <col min="12548" max="12548" width="15.125" style="13" customWidth="1"/>
    <col min="12549" max="12800" width="7.875" style="13"/>
    <col min="12801" max="12801" width="22.875" style="13" customWidth="1"/>
    <col min="12802" max="12802" width="49.875" style="13" customWidth="1"/>
    <col min="12803" max="12803" width="9.5" style="13" customWidth="1"/>
    <col min="12804" max="12804" width="15.125" style="13" customWidth="1"/>
    <col min="12805" max="13056" width="7.875" style="13"/>
    <col min="13057" max="13057" width="22.875" style="13" customWidth="1"/>
    <col min="13058" max="13058" width="49.875" style="13" customWidth="1"/>
    <col min="13059" max="13059" width="9.5" style="13" customWidth="1"/>
    <col min="13060" max="13060" width="15.125" style="13" customWidth="1"/>
    <col min="13061" max="13312" width="7.875" style="13"/>
    <col min="13313" max="13313" width="22.875" style="13" customWidth="1"/>
    <col min="13314" max="13314" width="49.875" style="13" customWidth="1"/>
    <col min="13315" max="13315" width="9.5" style="13" customWidth="1"/>
    <col min="13316" max="13316" width="15.125" style="13" customWidth="1"/>
    <col min="13317" max="13568" width="7.875" style="13"/>
    <col min="13569" max="13569" width="22.875" style="13" customWidth="1"/>
    <col min="13570" max="13570" width="49.875" style="13" customWidth="1"/>
    <col min="13571" max="13571" width="9.5" style="13" customWidth="1"/>
    <col min="13572" max="13572" width="15.125" style="13" customWidth="1"/>
    <col min="13573" max="13824" width="7.875" style="13"/>
    <col min="13825" max="13825" width="22.875" style="13" customWidth="1"/>
    <col min="13826" max="13826" width="49.875" style="13" customWidth="1"/>
    <col min="13827" max="13827" width="9.5" style="13" customWidth="1"/>
    <col min="13828" max="13828" width="15.125" style="13" customWidth="1"/>
    <col min="13829" max="14080" width="7.875" style="13"/>
    <col min="14081" max="14081" width="22.875" style="13" customWidth="1"/>
    <col min="14082" max="14082" width="49.875" style="13" customWidth="1"/>
    <col min="14083" max="14083" width="9.5" style="13" customWidth="1"/>
    <col min="14084" max="14084" width="15.125" style="13" customWidth="1"/>
    <col min="14085" max="14336" width="7.875" style="13"/>
    <col min="14337" max="14337" width="22.875" style="13" customWidth="1"/>
    <col min="14338" max="14338" width="49.875" style="13" customWidth="1"/>
    <col min="14339" max="14339" width="9.5" style="13" customWidth="1"/>
    <col min="14340" max="14340" width="15.125" style="13" customWidth="1"/>
    <col min="14341" max="14592" width="7.875" style="13"/>
    <col min="14593" max="14593" width="22.875" style="13" customWidth="1"/>
    <col min="14594" max="14594" width="49.875" style="13" customWidth="1"/>
    <col min="14595" max="14595" width="9.5" style="13" customWidth="1"/>
    <col min="14596" max="14596" width="15.125" style="13" customWidth="1"/>
    <col min="14597" max="14848" width="7.875" style="13"/>
    <col min="14849" max="14849" width="22.875" style="13" customWidth="1"/>
    <col min="14850" max="14850" width="49.875" style="13" customWidth="1"/>
    <col min="14851" max="14851" width="9.5" style="13" customWidth="1"/>
    <col min="14852" max="14852" width="15.125" style="13" customWidth="1"/>
    <col min="14853" max="15104" width="7.875" style="13"/>
    <col min="15105" max="15105" width="22.875" style="13" customWidth="1"/>
    <col min="15106" max="15106" width="49.875" style="13" customWidth="1"/>
    <col min="15107" max="15107" width="9.5" style="13" customWidth="1"/>
    <col min="15108" max="15108" width="15.125" style="13" customWidth="1"/>
    <col min="15109" max="15360" width="7.875" style="13"/>
    <col min="15361" max="15361" width="22.875" style="13" customWidth="1"/>
    <col min="15362" max="15362" width="49.875" style="13" customWidth="1"/>
    <col min="15363" max="15363" width="9.5" style="13" customWidth="1"/>
    <col min="15364" max="15364" width="15.125" style="13" customWidth="1"/>
    <col min="15365" max="15616" width="7.875" style="13"/>
    <col min="15617" max="15617" width="22.875" style="13" customWidth="1"/>
    <col min="15618" max="15618" width="49.875" style="13" customWidth="1"/>
    <col min="15619" max="15619" width="9.5" style="13" customWidth="1"/>
    <col min="15620" max="15620" width="15.125" style="13" customWidth="1"/>
    <col min="15621" max="15872" width="7.875" style="13"/>
    <col min="15873" max="15873" width="22.875" style="13" customWidth="1"/>
    <col min="15874" max="15874" width="49.875" style="13" customWidth="1"/>
    <col min="15875" max="15875" width="9.5" style="13" customWidth="1"/>
    <col min="15876" max="15876" width="15.125" style="13" customWidth="1"/>
    <col min="15877" max="16128" width="7.875" style="13"/>
    <col min="16129" max="16129" width="22.875" style="13" customWidth="1"/>
    <col min="16130" max="16130" width="49.875" style="13" customWidth="1"/>
    <col min="16131" max="16131" width="9.5" style="13" customWidth="1"/>
    <col min="16132" max="16132" width="15.125" style="13" customWidth="1"/>
    <col min="16133" max="16384" width="7.875" style="13"/>
  </cols>
  <sheetData>
    <row r="1" spans="1:5" x14ac:dyDescent="0.2">
      <c r="A1" s="258"/>
      <c r="B1" s="258"/>
      <c r="C1" s="258"/>
      <c r="D1" s="258"/>
    </row>
    <row r="2" spans="1:5" x14ac:dyDescent="0.2">
      <c r="A2" s="260" t="s">
        <v>119</v>
      </c>
      <c r="B2" s="260"/>
      <c r="C2" s="260"/>
      <c r="D2" s="260"/>
      <c r="E2" s="73"/>
    </row>
    <row r="3" spans="1:5" x14ac:dyDescent="0.2">
      <c r="A3" s="260" t="s">
        <v>120</v>
      </c>
      <c r="B3" s="260"/>
      <c r="C3" s="260"/>
      <c r="D3" s="260"/>
      <c r="E3" s="73"/>
    </row>
    <row r="4" spans="1:5" x14ac:dyDescent="0.2">
      <c r="A4" s="258"/>
      <c r="B4" s="258"/>
      <c r="C4" s="258"/>
      <c r="D4" s="258"/>
    </row>
    <row r="5" spans="1:5" x14ac:dyDescent="0.2">
      <c r="A5" s="74"/>
      <c r="B5" s="74"/>
      <c r="C5" s="74"/>
      <c r="D5" s="74"/>
    </row>
    <row r="6" spans="1:5" ht="40.5" customHeight="1" x14ac:dyDescent="0.2">
      <c r="A6" s="261" t="s">
        <v>562</v>
      </c>
      <c r="B6" s="261"/>
      <c r="C6" s="261"/>
      <c r="D6" s="261"/>
      <c r="E6" s="75"/>
    </row>
    <row r="7" spans="1:5" x14ac:dyDescent="0.2">
      <c r="A7" s="260" t="s">
        <v>165</v>
      </c>
      <c r="B7" s="260"/>
      <c r="C7" s="260"/>
      <c r="D7" s="260"/>
      <c r="E7" s="73"/>
    </row>
    <row r="8" spans="1:5" x14ac:dyDescent="0.2">
      <c r="A8" s="258"/>
      <c r="B8" s="258"/>
      <c r="C8" s="258"/>
      <c r="D8" s="258"/>
    </row>
    <row r="9" spans="1:5" s="36" customFormat="1" x14ac:dyDescent="0.2">
      <c r="A9" s="76"/>
      <c r="B9" s="76"/>
      <c r="C9" s="76"/>
      <c r="D9" s="37"/>
    </row>
    <row r="10" spans="1:5" s="36" customFormat="1" x14ac:dyDescent="0.2">
      <c r="A10" s="76"/>
      <c r="B10" s="76"/>
      <c r="C10" s="76"/>
      <c r="D10" s="37"/>
    </row>
    <row r="11" spans="1:5" ht="45" customHeight="1" x14ac:dyDescent="0.2">
      <c r="A11" s="77">
        <v>1</v>
      </c>
      <c r="B11" s="257" t="s">
        <v>166</v>
      </c>
      <c r="C11" s="257"/>
      <c r="D11" s="257"/>
    </row>
    <row r="12" spans="1:5" x14ac:dyDescent="0.2">
      <c r="A12" s="78"/>
      <c r="B12" s="78"/>
      <c r="C12" s="78"/>
      <c r="D12" s="38"/>
    </row>
    <row r="13" spans="1:5" ht="45" customHeight="1" x14ac:dyDescent="0.2">
      <c r="A13" s="77">
        <v>2</v>
      </c>
      <c r="B13" s="257" t="s">
        <v>167</v>
      </c>
      <c r="C13" s="257"/>
      <c r="D13" s="257"/>
    </row>
    <row r="14" spans="1:5" x14ac:dyDescent="0.2">
      <c r="A14" s="78"/>
      <c r="B14" s="78"/>
      <c r="C14" s="78"/>
      <c r="D14" s="38"/>
    </row>
    <row r="15" spans="1:5" ht="45" customHeight="1" x14ac:dyDescent="0.2">
      <c r="A15" s="77">
        <v>3</v>
      </c>
      <c r="B15" s="257" t="s">
        <v>168</v>
      </c>
      <c r="C15" s="257"/>
      <c r="D15" s="257"/>
    </row>
    <row r="16" spans="1:5" x14ac:dyDescent="0.2">
      <c r="A16" s="78"/>
      <c r="B16" s="78"/>
      <c r="C16" s="78"/>
      <c r="D16" s="38"/>
    </row>
    <row r="17" spans="1:4" ht="45" customHeight="1" x14ac:dyDescent="0.2">
      <c r="A17" s="77">
        <v>4</v>
      </c>
      <c r="B17" s="259" t="s">
        <v>169</v>
      </c>
      <c r="C17" s="259"/>
      <c r="D17" s="259"/>
    </row>
    <row r="18" spans="1:4" x14ac:dyDescent="0.2">
      <c r="A18" s="78"/>
      <c r="B18" s="78"/>
      <c r="C18" s="78"/>
      <c r="D18" s="38"/>
    </row>
    <row r="19" spans="1:4" ht="45" customHeight="1" x14ac:dyDescent="0.2">
      <c r="A19" s="77">
        <v>5</v>
      </c>
      <c r="B19" s="257" t="s">
        <v>170</v>
      </c>
      <c r="C19" s="257"/>
      <c r="D19" s="257"/>
    </row>
    <row r="20" spans="1:4" x14ac:dyDescent="0.2">
      <c r="A20" s="78"/>
      <c r="B20" s="78"/>
      <c r="C20" s="78"/>
      <c r="D20" s="38"/>
    </row>
    <row r="21" spans="1:4" ht="45" customHeight="1" x14ac:dyDescent="0.2">
      <c r="A21" s="77">
        <v>6</v>
      </c>
      <c r="B21" s="257" t="s">
        <v>188</v>
      </c>
      <c r="C21" s="257"/>
      <c r="D21" s="257"/>
    </row>
    <row r="22" spans="1:4" x14ac:dyDescent="0.2">
      <c r="A22" s="78"/>
      <c r="B22" s="78"/>
      <c r="C22" s="78"/>
      <c r="D22" s="38"/>
    </row>
  </sheetData>
  <sheetProtection algorithmName="SHA-512" hashValue="xLDlC4vbueTycIQ1qUPe7BKXJdHxLyX9MG1GOdUotqwsp0F6H/8qRfVE0p//1Tih2nOT+sU7bW0cY4w1/8RTyA==" saltValue="ix9MCcEg5jdF965+b3W+7A==" spinCount="100000" sheet="1" objects="1" scenarios="1"/>
  <mergeCells count="13">
    <mergeCell ref="A7:D7"/>
    <mergeCell ref="A1:D1"/>
    <mergeCell ref="A2:D2"/>
    <mergeCell ref="A3:D3"/>
    <mergeCell ref="A4:D4"/>
    <mergeCell ref="A6:D6"/>
    <mergeCell ref="B21:D21"/>
    <mergeCell ref="A8:D8"/>
    <mergeCell ref="B11:D11"/>
    <mergeCell ref="B13:D13"/>
    <mergeCell ref="B15:D15"/>
    <mergeCell ref="B17:D17"/>
    <mergeCell ref="B19:D19"/>
  </mergeCells>
  <pageMargins left="0.78740157480314965" right="0.78740157480314965" top="0.78740157480314965" bottom="0.78740157480314965" header="0.31496062992125984" footer="0.31496062992125984"/>
  <pageSetup paperSize="9" scale="76"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1"/>
  <dimension ref="A1:L63"/>
  <sheetViews>
    <sheetView tabSelected="1" showOutlineSymbols="0" showWhiteSpace="0" view="pageBreakPreview" topLeftCell="A43" zoomScaleNormal="100" zoomScaleSheetLayoutView="100" workbookViewId="0">
      <selection activeCell="A57" sqref="A57:J57"/>
    </sheetView>
  </sheetViews>
  <sheetFormatPr defaultRowHeight="14.25" x14ac:dyDescent="0.2"/>
  <cols>
    <col min="1" max="1" width="10.625" customWidth="1"/>
    <col min="2" max="2" width="15.625" customWidth="1"/>
    <col min="3" max="3" width="10.625" customWidth="1"/>
    <col min="4" max="4" width="60.625" customWidth="1"/>
    <col min="5" max="5" width="8.625" customWidth="1"/>
    <col min="6" max="8" width="15.625" style="7" customWidth="1"/>
    <col min="9" max="10" width="15.625" customWidth="1"/>
    <col min="12" max="12" width="15.625" bestFit="1" customWidth="1"/>
  </cols>
  <sheetData>
    <row r="1" spans="1:11" s="6" customFormat="1" ht="15" customHeight="1" x14ac:dyDescent="0.2">
      <c r="A1" s="279"/>
      <c r="B1" s="279"/>
      <c r="C1" s="279"/>
      <c r="D1" s="279"/>
      <c r="E1" s="279"/>
      <c r="F1" s="279"/>
      <c r="G1" s="279"/>
      <c r="H1" s="279"/>
      <c r="I1" s="279"/>
      <c r="J1" s="279"/>
    </row>
    <row r="2" spans="1:11" s="6" customFormat="1" ht="15" customHeight="1" x14ac:dyDescent="0.2">
      <c r="A2" s="278" t="str">
        <f>INSTRUÇÕES!A2</f>
        <v>PROCURADORIA GERAL DA REPÚBLICA</v>
      </c>
      <c r="B2" s="278"/>
      <c r="C2" s="278"/>
      <c r="D2" s="278"/>
      <c r="E2" s="278"/>
      <c r="F2" s="278"/>
      <c r="G2" s="278"/>
      <c r="H2" s="278"/>
      <c r="I2" s="278"/>
      <c r="J2" s="278"/>
    </row>
    <row r="3" spans="1:11" s="6" customFormat="1" ht="15" customHeight="1" x14ac:dyDescent="0.2">
      <c r="A3" s="278" t="str">
        <f>INSTRUÇÕES!A3</f>
        <v>SECRETARIA DE ENGENHARIA E ARQUITETURA</v>
      </c>
      <c r="B3" s="278"/>
      <c r="C3" s="278"/>
      <c r="D3" s="278"/>
      <c r="E3" s="278"/>
      <c r="F3" s="278"/>
      <c r="G3" s="278"/>
      <c r="H3" s="278"/>
      <c r="I3" s="278"/>
      <c r="J3" s="278"/>
    </row>
    <row r="4" spans="1:11" s="6" customFormat="1" ht="15" customHeight="1" x14ac:dyDescent="0.2">
      <c r="A4" s="278"/>
      <c r="B4" s="278"/>
      <c r="C4" s="278"/>
      <c r="D4" s="278"/>
      <c r="E4" s="278"/>
      <c r="F4" s="278"/>
      <c r="G4" s="278"/>
      <c r="H4" s="278"/>
      <c r="I4" s="278"/>
      <c r="J4" s="278"/>
    </row>
    <row r="5" spans="1:11" s="6" customFormat="1" ht="15" customHeight="1" x14ac:dyDescent="0.2">
      <c r="A5" s="278" t="str">
        <f>INSTRUÇÕES!A6</f>
        <v>OBRA: INSTALAÇÃO DE MICROGERAÇÃO DISTRIBUIDA NA PRM-SANTAREM / PA / MPF</v>
      </c>
      <c r="B5" s="278"/>
      <c r="C5" s="278"/>
      <c r="D5" s="278"/>
      <c r="E5" s="278"/>
      <c r="F5" s="278"/>
      <c r="G5" s="278"/>
      <c r="H5" s="278"/>
      <c r="I5" s="278"/>
      <c r="J5" s="278"/>
    </row>
    <row r="6" spans="1:11" s="72" customFormat="1" ht="30" customHeight="1" x14ac:dyDescent="0.2">
      <c r="A6" s="280" t="s">
        <v>182</v>
      </c>
      <c r="B6" s="280"/>
      <c r="C6" s="280"/>
      <c r="D6" s="280"/>
      <c r="E6" s="280"/>
      <c r="F6" s="280"/>
      <c r="G6" s="280"/>
      <c r="H6" s="280"/>
      <c r="I6" s="280"/>
      <c r="J6" s="280"/>
    </row>
    <row r="7" spans="1:11" s="6" customFormat="1" ht="15" customHeight="1" x14ac:dyDescent="0.2">
      <c r="A7" s="279"/>
      <c r="B7" s="279"/>
      <c r="C7" s="279"/>
      <c r="D7" s="279"/>
      <c r="E7" s="279"/>
      <c r="F7" s="279"/>
      <c r="G7" s="279"/>
      <c r="H7" s="279"/>
      <c r="I7" s="279"/>
      <c r="J7" s="279"/>
    </row>
    <row r="8" spans="1:11" s="6" customFormat="1" ht="15" customHeight="1" x14ac:dyDescent="0.2">
      <c r="A8" s="72"/>
      <c r="B8" s="72"/>
      <c r="C8" s="72"/>
      <c r="D8" s="72"/>
      <c r="E8" s="277" t="s">
        <v>163</v>
      </c>
      <c r="F8" s="277"/>
      <c r="G8" s="277"/>
      <c r="H8" s="277"/>
      <c r="I8" s="277"/>
      <c r="J8" s="80">
        <f>BDI!D9</f>
        <v>1.1900999999999999</v>
      </c>
    </row>
    <row r="9" spans="1:11" s="6" customFormat="1" ht="15" customHeight="1" x14ac:dyDescent="0.2">
      <c r="A9" s="72"/>
      <c r="B9" s="72"/>
      <c r="C9" s="72"/>
      <c r="D9" s="72"/>
      <c r="E9" s="277" t="s">
        <v>164</v>
      </c>
      <c r="F9" s="277"/>
      <c r="G9" s="277"/>
      <c r="H9" s="277"/>
      <c r="I9" s="277"/>
      <c r="J9" s="80">
        <f>BDI!D23</f>
        <v>0.22226164190779008</v>
      </c>
    </row>
    <row r="10" spans="1:11" s="229" customFormat="1" ht="15" customHeight="1" x14ac:dyDescent="0.2">
      <c r="A10" s="72"/>
      <c r="B10" s="72"/>
      <c r="C10" s="72"/>
      <c r="D10" s="72"/>
      <c r="E10" s="277" t="s">
        <v>411</v>
      </c>
      <c r="F10" s="277"/>
      <c r="G10" s="277"/>
      <c r="H10" s="277"/>
      <c r="I10" s="277"/>
      <c r="J10" s="80">
        <f>BDI!D37</f>
        <v>0.13241242289348176</v>
      </c>
    </row>
    <row r="11" spans="1:11" s="6" customFormat="1" ht="15" customHeight="1" x14ac:dyDescent="0.2">
      <c r="A11" s="72"/>
      <c r="B11" s="72"/>
      <c r="C11" s="72"/>
      <c r="D11" s="72"/>
      <c r="E11" s="277" t="s">
        <v>412</v>
      </c>
      <c r="F11" s="277"/>
      <c r="G11" s="277"/>
      <c r="H11" s="277"/>
      <c r="I11" s="277"/>
      <c r="J11" s="81"/>
    </row>
    <row r="12" spans="1:11" s="6" customFormat="1" ht="15" customHeight="1" x14ac:dyDescent="0.2">
      <c r="A12" s="72"/>
      <c r="B12" s="72"/>
      <c r="C12" s="72"/>
      <c r="D12" s="72"/>
      <c r="E12" s="72"/>
      <c r="F12" s="193"/>
      <c r="G12" s="193"/>
      <c r="H12" s="193"/>
      <c r="I12" s="72"/>
      <c r="J12" s="72"/>
    </row>
    <row r="13" spans="1:11" ht="30" customHeight="1" x14ac:dyDescent="0.2">
      <c r="A13" s="69" t="s">
        <v>145</v>
      </c>
      <c r="B13" s="70" t="s">
        <v>156</v>
      </c>
      <c r="C13" s="69" t="s">
        <v>157</v>
      </c>
      <c r="D13" s="69" t="s">
        <v>146</v>
      </c>
      <c r="E13" s="71" t="s">
        <v>158</v>
      </c>
      <c r="F13" s="194" t="s">
        <v>159</v>
      </c>
      <c r="G13" s="195" t="s">
        <v>183</v>
      </c>
      <c r="H13" s="194" t="s">
        <v>161</v>
      </c>
      <c r="I13" s="181" t="s">
        <v>184</v>
      </c>
      <c r="J13" s="70" t="s">
        <v>162</v>
      </c>
    </row>
    <row r="14" spans="1:11" s="6" customFormat="1" ht="15" x14ac:dyDescent="0.2">
      <c r="A14" s="185"/>
      <c r="B14" s="186"/>
      <c r="C14" s="185"/>
      <c r="D14" s="185"/>
      <c r="E14" s="187"/>
      <c r="F14" s="196"/>
      <c r="G14" s="196"/>
      <c r="H14" s="196"/>
      <c r="I14" s="186"/>
      <c r="J14" s="186"/>
    </row>
    <row r="15" spans="1:11" x14ac:dyDescent="0.2">
      <c r="A15" s="191" t="s">
        <v>413</v>
      </c>
      <c r="B15" s="191"/>
      <c r="C15" s="191"/>
      <c r="D15" s="191" t="s">
        <v>277</v>
      </c>
      <c r="E15" s="191"/>
      <c r="F15" s="197"/>
      <c r="G15" s="198"/>
      <c r="H15" s="198"/>
      <c r="I15" s="231">
        <f>I16+I18+I21</f>
        <v>5050.8</v>
      </c>
      <c r="J15" s="192">
        <f>J16+J18+J21</f>
        <v>1.5273990587692101E-2</v>
      </c>
      <c r="K15" s="143" t="str">
        <f>IF(ISBLANK($A15),"",HYPERLINK("#ANALÍTICA!A"&amp;MATCH($A15,ANALÍTICA!A:A,0),"Link"))</f>
        <v>Link</v>
      </c>
    </row>
    <row r="16" spans="1:11" x14ac:dyDescent="0.2">
      <c r="A16" s="252" t="s">
        <v>414</v>
      </c>
      <c r="B16" s="252"/>
      <c r="C16" s="252"/>
      <c r="D16" s="252" t="s">
        <v>415</v>
      </c>
      <c r="E16" s="252"/>
      <c r="F16" s="253"/>
      <c r="G16" s="252"/>
      <c r="H16" s="252"/>
      <c r="I16" s="254">
        <f>SUM(I17)</f>
        <v>942.14</v>
      </c>
      <c r="J16" s="255">
        <f>J17</f>
        <v>2.8491006359959285E-3</v>
      </c>
      <c r="K16" s="143" t="str">
        <f>IF(ISBLANK($A16),"",HYPERLINK("#ANALÍTICA!A"&amp;MATCH($A16,ANALÍTICA!A:A,0),"Link"))</f>
        <v>Link</v>
      </c>
    </row>
    <row r="17" spans="1:11" s="72" customFormat="1" x14ac:dyDescent="0.2">
      <c r="A17" s="223" t="s">
        <v>416</v>
      </c>
      <c r="B17" s="224" t="s">
        <v>417</v>
      </c>
      <c r="C17" s="223" t="str">
        <f>UPPER(VLOOKUP(B17,ANALÍTICA!B:J,2,0))</f>
        <v>SINAPI</v>
      </c>
      <c r="D17" s="223" t="str">
        <f>UPPER(VLOOKUP(B17,ANALÍTICA!B:J,3,0))</f>
        <v>PLACA DE OBRA EM CHAPA DE ACO GALVANIZADO</v>
      </c>
      <c r="E17" s="225" t="str">
        <f>UPPER(VLOOKUP(B17,ANALÍTICA!B:J,6,0))</f>
        <v>M²</v>
      </c>
      <c r="F17" s="230">
        <v>1.6</v>
      </c>
      <c r="G17" s="230">
        <f>VLOOKUP(B17,ANALÍTICA!B:J,8,0)</f>
        <v>481.77000000000004</v>
      </c>
      <c r="H17" s="230">
        <f>TRUNC(G17*(1+J$9),2)</f>
        <v>588.84</v>
      </c>
      <c r="I17" s="230">
        <f>TRUNC(H17*F17,2)</f>
        <v>942.14</v>
      </c>
      <c r="J17" s="226">
        <f>I17/$I$60</f>
        <v>2.8491006359959285E-3</v>
      </c>
      <c r="K17" s="143" t="str">
        <f>IF(ISBLANK($A17),"",HYPERLINK("#ANALÍTICA!A"&amp;MATCH($A17,ANALÍTICA!A:A,0),"Link"))</f>
        <v>Link</v>
      </c>
    </row>
    <row r="18" spans="1:11" s="6" customFormat="1" x14ac:dyDescent="0.2">
      <c r="A18" s="252" t="s">
        <v>418</v>
      </c>
      <c r="B18" s="252"/>
      <c r="C18" s="252"/>
      <c r="D18" s="252" t="s">
        <v>419</v>
      </c>
      <c r="E18" s="252"/>
      <c r="F18" s="253"/>
      <c r="G18" s="252"/>
      <c r="H18" s="252"/>
      <c r="I18" s="254">
        <f>SUM(I19:I20)</f>
        <v>2537.52</v>
      </c>
      <c r="J18" s="255">
        <f>SUM(J19:J20)</f>
        <v>7.6736470650353326E-3</v>
      </c>
      <c r="K18" s="143" t="str">
        <f>IF(ISBLANK($A18),"",HYPERLINK("#ANALÍTICA!A"&amp;MATCH($A18,ANALÍTICA!A:A,0),"Link"))</f>
        <v>Link</v>
      </c>
    </row>
    <row r="19" spans="1:11" s="229" customFormat="1" ht="51" x14ac:dyDescent="0.2">
      <c r="A19" s="223" t="s">
        <v>420</v>
      </c>
      <c r="B19" s="224" t="s">
        <v>421</v>
      </c>
      <c r="C19" s="223" t="str">
        <f>UPPER(VLOOKUP(B19,ANALÍTICA!B:J,2,0))</f>
        <v>SINAPI</v>
      </c>
      <c r="D19" s="223" t="str">
        <f>UPPER(VLOOKUP(B19,ANALÍTICA!B:J,3,0))</f>
        <v>ALUGUEL CONTAINER/ESCRIT INCL INST ELET LARG=2,20 COMP=6,20M          ALT=2,50M CHAPA ACO C/NERV TRAPEZ FORRO C/ISOL TERMO/ACUSTICO         CHASSIS REFORC PISO COMPENS NAVAL EXC TRANSP/CARGA/DESCARGA</v>
      </c>
      <c r="E19" s="225" t="str">
        <f>UPPER(VLOOKUP(B19,ANALÍTICA!B:J,6,0))</f>
        <v>MES</v>
      </c>
      <c r="F19" s="230">
        <v>2</v>
      </c>
      <c r="G19" s="230">
        <f>VLOOKUP(B19,ANALÍTICA!B:J,8,0)</f>
        <v>402.34</v>
      </c>
      <c r="H19" s="230">
        <f>TRUNC(G19*(1+J$9),2)</f>
        <v>491.76</v>
      </c>
      <c r="I19" s="230">
        <f>TRUNC(H19*F19,2)</f>
        <v>983.52</v>
      </c>
      <c r="J19" s="226">
        <f>I19/$I$60</f>
        <v>2.9742367986867295E-3</v>
      </c>
      <c r="K19" s="143" t="str">
        <f>IF(ISBLANK($A19),"",HYPERLINK("#ANALÍTICA!A"&amp;MATCH($A19,ANALÍTICA!A:A,0),"Link"))</f>
        <v>Link</v>
      </c>
    </row>
    <row r="20" spans="1:11" s="229" customFormat="1" ht="51" x14ac:dyDescent="0.2">
      <c r="A20" s="223" t="s">
        <v>423</v>
      </c>
      <c r="B20" s="224" t="s">
        <v>424</v>
      </c>
      <c r="C20" s="223" t="str">
        <f>UPPER(VLOOKUP(B20,ANALÍTICA!B:J,2,0))</f>
        <v>SINAPI</v>
      </c>
      <c r="D20" s="223" t="str">
        <f>UPPER(VLOOKUP(B20,ANALÍTICA!B:J,3,0))</f>
        <v>ALUGUEL CONTAINER/SANIT C/2 VASOS/1 LAVAT/1 MIC/4 CHUV LARG=          2,20M COMPR=6,20M ALT=2,50M CHAPA ACO C/NERV TRAPEZ FORRO C/          ISOLAM TERMO/ACUSTICO CHASSIS REFORC PISO COMPENS NAVAL INCL          INST ELETR/HIDR EXCL TRANSP/CARGA/DESCARG</v>
      </c>
      <c r="E20" s="225" t="str">
        <f>UPPER(VLOOKUP(B20,ANALÍTICA!B:J,6,0))</f>
        <v>MES</v>
      </c>
      <c r="F20" s="230">
        <v>2</v>
      </c>
      <c r="G20" s="230">
        <f>VLOOKUP(B20,ANALÍTICA!B:J,8,0)</f>
        <v>635.71</v>
      </c>
      <c r="H20" s="230">
        <f>TRUNC(G20*(1+J$9),2)</f>
        <v>777</v>
      </c>
      <c r="I20" s="230">
        <f>TRUNC(H20*F20,2)</f>
        <v>1554</v>
      </c>
      <c r="J20" s="226">
        <f>I20/$I$60</f>
        <v>4.6994102663486031E-3</v>
      </c>
      <c r="K20" s="143" t="str">
        <f>IF(ISBLANK($A20),"",HYPERLINK("#ANALÍTICA!A"&amp;MATCH($A20,ANALÍTICA!A:A,0),"Link"))</f>
        <v>Link</v>
      </c>
    </row>
    <row r="21" spans="1:11" s="229" customFormat="1" x14ac:dyDescent="0.2">
      <c r="A21" s="252" t="s">
        <v>426</v>
      </c>
      <c r="B21" s="252"/>
      <c r="C21" s="252"/>
      <c r="D21" s="252" t="s">
        <v>427</v>
      </c>
      <c r="E21" s="252"/>
      <c r="F21" s="253"/>
      <c r="G21" s="252"/>
      <c r="H21" s="252"/>
      <c r="I21" s="254">
        <f>SUM(I22)</f>
        <v>1571.14</v>
      </c>
      <c r="J21" s="255">
        <f>J22</f>
        <v>4.7512428866608395E-3</v>
      </c>
      <c r="K21" s="143" t="str">
        <f>IF(ISBLANK($A21),"",HYPERLINK("#ANALÍTICA!A"&amp;MATCH($A21,ANALÍTICA!A:A,0),"Link"))</f>
        <v>Link</v>
      </c>
    </row>
    <row r="22" spans="1:11" s="229" customFormat="1" ht="25.5" x14ac:dyDescent="0.2">
      <c r="A22" s="223" t="s">
        <v>428</v>
      </c>
      <c r="B22" s="224" t="s">
        <v>429</v>
      </c>
      <c r="C22" s="223" t="str">
        <f>UPPER(VLOOKUP(B22,ANALÍTICA!B:J,2,0))</f>
        <v>PRÓPRIO</v>
      </c>
      <c r="D22" s="223" t="str">
        <f>UPPER(VLOOKUP(B22,ANALÍTICA!B:J,3,0))</f>
        <v>ELABORAÇÃO E APROVAÇÃO DE PROJETO DE MICROGERAÇÃO DISTRIBUÍDA NA CONCESSIONÁRIA LOCAL DE ENERGIA ELÉTRICA</v>
      </c>
      <c r="E22" s="225" t="str">
        <f>UPPER(VLOOKUP(B22,ANALÍTICA!B:J,6,0))</f>
        <v>UN</v>
      </c>
      <c r="F22" s="230">
        <v>1</v>
      </c>
      <c r="G22" s="230">
        <f>VLOOKUP(B22,ANALÍTICA!B:J,8,0)</f>
        <v>1285.44</v>
      </c>
      <c r="H22" s="230">
        <f>TRUNC(G22*(1+J$9),2)</f>
        <v>1571.14</v>
      </c>
      <c r="I22" s="230">
        <f>TRUNC(H22*F22,2)</f>
        <v>1571.14</v>
      </c>
      <c r="J22" s="226">
        <f>I22/$I$60</f>
        <v>4.7512428866608395E-3</v>
      </c>
      <c r="K22" s="143" t="str">
        <f>IF(ISBLANK($A22),"",HYPERLINK("#ANALÍTICA!A"&amp;MATCH($A22,ANALÍTICA!A:A,0),"Link"))</f>
        <v>Link</v>
      </c>
    </row>
    <row r="23" spans="1:11" s="229" customFormat="1" x14ac:dyDescent="0.2">
      <c r="A23" s="191" t="s">
        <v>431</v>
      </c>
      <c r="B23" s="191"/>
      <c r="C23" s="191"/>
      <c r="D23" s="191" t="s">
        <v>432</v>
      </c>
      <c r="E23" s="191"/>
      <c r="F23" s="197"/>
      <c r="G23" s="198"/>
      <c r="H23" s="198"/>
      <c r="I23" s="231">
        <f>I24</f>
        <v>29151.200000000001</v>
      </c>
      <c r="J23" s="192">
        <f>J24</f>
        <v>8.8155372301403731E-2</v>
      </c>
      <c r="K23" s="143" t="str">
        <f>IF(ISBLANK($A23),"",HYPERLINK("#ANALÍTICA!A"&amp;MATCH($A23,ANALÍTICA!A:A,0),"Link"))</f>
        <v>Link</v>
      </c>
    </row>
    <row r="24" spans="1:11" s="229" customFormat="1" ht="25.5" x14ac:dyDescent="0.2">
      <c r="A24" s="223" t="s">
        <v>433</v>
      </c>
      <c r="B24" s="224" t="s">
        <v>434</v>
      </c>
      <c r="C24" s="223" t="str">
        <f>UPPER(VLOOKUP(B24,ANALÍTICA!B:J,2,0))</f>
        <v>PRÓPRIO</v>
      </c>
      <c r="D24" s="223" t="str">
        <f>UPPER(VLOOKUP(B24,ANALÍTICA!B:J,3,0))</f>
        <v>ESTRUTURA PARA 4 MÓDULOS FOTOVOLTAICOS PARA INSTALAÇÃO EM TELHA TRAPEZOIDAL - FORNECIMENTO E INSTALAÇÃO</v>
      </c>
      <c r="E24" s="225" t="str">
        <f>UPPER(VLOOKUP(B24,ANALÍTICA!B:J,6,0))</f>
        <v>UNIDADE</v>
      </c>
      <c r="F24" s="230">
        <v>52</v>
      </c>
      <c r="G24" s="230">
        <f>VLOOKUP(B24,ANALÍTICA!B:J,8,0)</f>
        <v>458.65999999999997</v>
      </c>
      <c r="H24" s="230">
        <f>TRUNC(G24*(1+J$9),2)</f>
        <v>560.6</v>
      </c>
      <c r="I24" s="230">
        <f>TRUNC(H24*F24,2)</f>
        <v>29151.200000000001</v>
      </c>
      <c r="J24" s="226">
        <f>I24/$I$60</f>
        <v>8.8155372301403731E-2</v>
      </c>
      <c r="K24" s="143" t="str">
        <f>IF(ISBLANK($A24),"",HYPERLINK("#ANALÍTICA!A"&amp;MATCH($A24,ANALÍTICA!A:A,0),"Link"))</f>
        <v>Link</v>
      </c>
    </row>
    <row r="25" spans="1:11" s="229" customFormat="1" x14ac:dyDescent="0.2">
      <c r="A25" s="191" t="s">
        <v>436</v>
      </c>
      <c r="B25" s="191"/>
      <c r="C25" s="191"/>
      <c r="D25" s="191" t="s">
        <v>437</v>
      </c>
      <c r="E25" s="191"/>
      <c r="F25" s="197"/>
      <c r="G25" s="198"/>
      <c r="H25" s="198"/>
      <c r="I25" s="231">
        <f>SUM(I26:I28)</f>
        <v>240995.71999999997</v>
      </c>
      <c r="J25" s="192">
        <f>SUM(J26:J28)</f>
        <v>0.72878877780828399</v>
      </c>
      <c r="K25" s="143" t="str">
        <f>IF(ISBLANK($A25),"",HYPERLINK("#ANALÍTICA!A"&amp;MATCH($A25,ANALÍTICA!A:A,0),"Link"))</f>
        <v>Link</v>
      </c>
    </row>
    <row r="26" spans="1:11" s="229" customFormat="1" ht="25.5" x14ac:dyDescent="0.2">
      <c r="A26" s="223" t="s">
        <v>438</v>
      </c>
      <c r="B26" s="224" t="s">
        <v>439</v>
      </c>
      <c r="C26" s="223" t="str">
        <f>UPPER(VLOOKUP(B26,ANALÍTICA!B:J,2,0))</f>
        <v>PRÓPRIO</v>
      </c>
      <c r="D26" s="223" t="str">
        <f>UPPER(VLOOKUP(B26,ANALÍTICA!B:J,3,0))</f>
        <v>MÓDULO FOTOVOLTAICO 330 W / 72 OU 144 CÉLULAS / POLICRISTALINO - FORNECIMENTO E INSTALAÇÃO</v>
      </c>
      <c r="E26" s="225" t="str">
        <f>UPPER(VLOOKUP(B26,ANALÍTICA!B:J,6,0))</f>
        <v>UNIDADE</v>
      </c>
      <c r="F26" s="230">
        <v>208</v>
      </c>
      <c r="G26" s="230">
        <f>VLOOKUP(B26,ANALÍTICA!B:J,8,0)</f>
        <v>717.2</v>
      </c>
      <c r="H26" s="230">
        <f>TRUNC(G26*(1+J$10),2)</f>
        <v>812.16</v>
      </c>
      <c r="I26" s="230">
        <f t="shared" ref="I26:I28" si="0">TRUNC(H26*F26,2)</f>
        <v>168929.28</v>
      </c>
      <c r="J26" s="226">
        <f t="shared" ref="J26:J28" si="1">I26/$I$60</f>
        <v>0.51085456416916197</v>
      </c>
      <c r="K26" s="143" t="str">
        <f>IF(ISBLANK($A26),"",HYPERLINK("#ANALÍTICA!A"&amp;MATCH($A26,ANALÍTICA!A:A,0),"Link"))</f>
        <v>Link</v>
      </c>
    </row>
    <row r="27" spans="1:11" s="229" customFormat="1" ht="25.5" x14ac:dyDescent="0.2">
      <c r="A27" s="223" t="s">
        <v>441</v>
      </c>
      <c r="B27" s="224" t="s">
        <v>442</v>
      </c>
      <c r="C27" s="223" t="str">
        <f>UPPER(VLOOKUP(B27,ANALÍTICA!B:J,2,0))</f>
        <v>PRÓPRIO</v>
      </c>
      <c r="D27" s="223" t="str">
        <f>UPPER(VLOOKUP(B27,ANALÍTICA!B:J,3,0))</f>
        <v>INVERSOR TRIFÁSICO SOLAR DE 30 KW - FORNECIMENTO E INSTALAÇÃO.</v>
      </c>
      <c r="E27" s="225" t="str">
        <f>UPPER(VLOOKUP(B27,ANALÍTICA!B:J,6,0))</f>
        <v>UNIDADE</v>
      </c>
      <c r="F27" s="230">
        <v>2</v>
      </c>
      <c r="G27" s="230">
        <f>VLOOKUP(B27,ANALÍTICA!B:J,8,0)</f>
        <v>28078.2</v>
      </c>
      <c r="H27" s="230">
        <f>TRUNC(G27*(1+J$10),2)</f>
        <v>31796.1</v>
      </c>
      <c r="I27" s="230">
        <f t="shared" si="0"/>
        <v>63592.2</v>
      </c>
      <c r="J27" s="226">
        <f t="shared" si="1"/>
        <v>0.19230748876428161</v>
      </c>
      <c r="K27" s="143" t="str">
        <f>IF(ISBLANK($A27),"",HYPERLINK("#ANALÍTICA!A"&amp;MATCH($A27,ANALÍTICA!A:A,0),"Link"))</f>
        <v>Link</v>
      </c>
    </row>
    <row r="28" spans="1:11" s="229" customFormat="1" ht="25.5" x14ac:dyDescent="0.2">
      <c r="A28" s="223" t="s">
        <v>444</v>
      </c>
      <c r="B28" s="224" t="s">
        <v>445</v>
      </c>
      <c r="C28" s="223" t="str">
        <f>UPPER(VLOOKUP(B28,ANALÍTICA!B:J,2,0))</f>
        <v>PRÓPRIO</v>
      </c>
      <c r="D28" s="223" t="str">
        <f>UPPER(VLOOKUP(B28,ANALÍTICA!B:J,3,0))</f>
        <v>STRING-BOX 2 ENTRADAS E 2 SAÍDAS COM DPS E SECCIONADORA - FORNECIMENTO E INSTALAÇÃO.</v>
      </c>
      <c r="E28" s="225" t="str">
        <f>UPPER(VLOOKUP(B28,ANALÍTICA!B:J,6,0))</f>
        <v>UNIDADE</v>
      </c>
      <c r="F28" s="230">
        <v>8</v>
      </c>
      <c r="G28" s="230">
        <f>VLOOKUP(B28,ANALÍTICA!B:J,8,0)</f>
        <v>935.42</v>
      </c>
      <c r="H28" s="230">
        <f>TRUNC(G28*(1+J$10),2)</f>
        <v>1059.28</v>
      </c>
      <c r="I28" s="230">
        <f t="shared" si="0"/>
        <v>8474.24</v>
      </c>
      <c r="J28" s="226">
        <f t="shared" si="1"/>
        <v>2.5626724874840402E-2</v>
      </c>
      <c r="K28" s="143" t="str">
        <f>IF(ISBLANK($A28),"",HYPERLINK("#ANALÍTICA!A"&amp;MATCH($A28,ANALÍTICA!A:A,0),"Link"))</f>
        <v>Link</v>
      </c>
    </row>
    <row r="29" spans="1:11" s="229" customFormat="1" x14ac:dyDescent="0.2">
      <c r="A29" s="191" t="s">
        <v>447</v>
      </c>
      <c r="B29" s="191"/>
      <c r="C29" s="191"/>
      <c r="D29" s="191" t="s">
        <v>278</v>
      </c>
      <c r="E29" s="191"/>
      <c r="F29" s="197"/>
      <c r="G29" s="198"/>
      <c r="H29" s="198"/>
      <c r="I29" s="231">
        <f>I30+I35+I41+I50</f>
        <v>41383.509999999995</v>
      </c>
      <c r="J29" s="192">
        <f>J30+J35+J41+J50</f>
        <v>0.12514677718889322</v>
      </c>
      <c r="K29" s="143" t="str">
        <f>IF(ISBLANK($A29),"",HYPERLINK("#ANALÍTICA!A"&amp;MATCH($A29,ANALÍTICA!A:A,0),"Link"))</f>
        <v>Link</v>
      </c>
    </row>
    <row r="30" spans="1:11" s="229" customFormat="1" x14ac:dyDescent="0.2">
      <c r="A30" s="252" t="s">
        <v>448</v>
      </c>
      <c r="B30" s="252"/>
      <c r="C30" s="252"/>
      <c r="D30" s="252" t="s">
        <v>281</v>
      </c>
      <c r="E30" s="252"/>
      <c r="F30" s="253"/>
      <c r="G30" s="252"/>
      <c r="H30" s="252"/>
      <c r="I30" s="254">
        <f>SUM(I31:I34)</f>
        <v>6193.8700000000008</v>
      </c>
      <c r="J30" s="255">
        <f>SUM(J31:J34)</f>
        <v>1.8730718318165133E-2</v>
      </c>
      <c r="K30" s="143" t="str">
        <f>IF(ISBLANK($A30),"",HYPERLINK("#ANALÍTICA!A"&amp;MATCH($A30,ANALÍTICA!A:A,0),"Link"))</f>
        <v>Link</v>
      </c>
    </row>
    <row r="31" spans="1:11" s="229" customFormat="1" ht="25.5" x14ac:dyDescent="0.2">
      <c r="A31" s="223" t="s">
        <v>449</v>
      </c>
      <c r="B31" s="224" t="s">
        <v>450</v>
      </c>
      <c r="C31" s="223" t="str">
        <f>UPPER(VLOOKUP(B31,ANALÍTICA!B:J,2,0))</f>
        <v>PRÓPRIO</v>
      </c>
      <c r="D31" s="223" t="str">
        <f>UPPER(VLOOKUP(B31,ANALÍTICA!B:J,3,0))</f>
        <v>ELETRODUTO DE AÇO GALVANIZADO INSTALADO EM PISO (COM APOIO) - FORNECIMENTO E INSTALAÇÃO.</v>
      </c>
      <c r="E31" s="225" t="str">
        <f>UPPER(VLOOKUP(B31,ANALÍTICA!B:J,6,0))</f>
        <v>METRO</v>
      </c>
      <c r="F31" s="230">
        <v>106</v>
      </c>
      <c r="G31" s="230">
        <f>VLOOKUP(B31,ANALÍTICA!B:J,8,0)</f>
        <v>15.460000000000003</v>
      </c>
      <c r="H31" s="230">
        <f>TRUNC(G31*(1+J$9),2)</f>
        <v>18.89</v>
      </c>
      <c r="I31" s="230">
        <f>TRUNC(H31*F31,2)</f>
        <v>2002.34</v>
      </c>
      <c r="J31" s="226">
        <f>I31/$I$60</f>
        <v>6.0552233929990103E-3</v>
      </c>
      <c r="K31" s="143" t="str">
        <f>IF(ISBLANK($A31),"",HYPERLINK("#ANALÍTICA!A"&amp;MATCH($A31,ANALÍTICA!A:A,0),"Link"))</f>
        <v>Link</v>
      </c>
    </row>
    <row r="32" spans="1:11" s="229" customFormat="1" ht="25.5" x14ac:dyDescent="0.2">
      <c r="A32" s="223" t="s">
        <v>452</v>
      </c>
      <c r="B32" s="224" t="s">
        <v>453</v>
      </c>
      <c r="C32" s="223" t="str">
        <f>UPPER(VLOOKUP(B32,ANALÍTICA!B:J,2,0))</f>
        <v>PRÓPRIO</v>
      </c>
      <c r="D32" s="223" t="str">
        <f>UPPER(VLOOKUP(B32,ANALÍTICA!B:J,3,0))</f>
        <v>CONDULETE DE ALUMÍNIO PARA ELETRODUTO 2" COM TAMPA CEGA - FORNECIMENTO E INSTALAÇÃO</v>
      </c>
      <c r="E32" s="225" t="str">
        <f>UPPER(VLOOKUP(B32,ANALÍTICA!B:J,6,0))</f>
        <v>UNIDADE</v>
      </c>
      <c r="F32" s="230">
        <v>50</v>
      </c>
      <c r="G32" s="230">
        <f>VLOOKUP(B32,ANALÍTICA!B:J,8,0)</f>
        <v>48.519999999999996</v>
      </c>
      <c r="H32" s="230">
        <f t="shared" ref="H32:H34" si="2">TRUNC(G32*(1+J$9),2)</f>
        <v>59.3</v>
      </c>
      <c r="I32" s="230">
        <f t="shared" ref="I32:I34" si="3">TRUNC(H32*F32,2)</f>
        <v>2965</v>
      </c>
      <c r="J32" s="226">
        <f t="shared" ref="J32:J34" si="4">I32/$I$60</f>
        <v>8.9663780178401587E-3</v>
      </c>
      <c r="K32" s="143" t="str">
        <f>IF(ISBLANK($A32),"",HYPERLINK("#ANALÍTICA!A"&amp;MATCH($A32,ANALÍTICA!A:A,0),"Link"))</f>
        <v>Link</v>
      </c>
    </row>
    <row r="33" spans="1:11" s="229" customFormat="1" ht="25.5" x14ac:dyDescent="0.2">
      <c r="A33" s="223" t="s">
        <v>455</v>
      </c>
      <c r="B33" s="224" t="s">
        <v>456</v>
      </c>
      <c r="C33" s="223" t="str">
        <f>UPPER(VLOOKUP(B33,ANALÍTICA!B:J,2,0))</f>
        <v>PRÓPRIO</v>
      </c>
      <c r="D33" s="223" t="str">
        <f>UPPER(VLOOKUP(B33,ANALÍTICA!B:J,3,0))</f>
        <v>ELETRODUTO DE AÇO GALVANIZADO 3" INSTALADO EM PISO (COM APOIO) - FORNECIMENTO E INSTALAÇÃO</v>
      </c>
      <c r="E33" s="225" t="str">
        <f>UPPER(VLOOKUP(B33,ANALÍTICA!B:J,6,0))</f>
        <v>METRO</v>
      </c>
      <c r="F33" s="230">
        <v>12</v>
      </c>
      <c r="G33" s="230">
        <f>VLOOKUP(B33,ANALÍTICA!B:J,8,0)</f>
        <v>19.340000000000003</v>
      </c>
      <c r="H33" s="230">
        <f t="shared" si="2"/>
        <v>23.63</v>
      </c>
      <c r="I33" s="230">
        <f t="shared" si="3"/>
        <v>283.56</v>
      </c>
      <c r="J33" s="226">
        <f t="shared" si="4"/>
        <v>8.5750629029974893E-4</v>
      </c>
      <c r="K33" s="143" t="str">
        <f>IF(ISBLANK($A33),"",HYPERLINK("#ANALÍTICA!A"&amp;MATCH($A33,ANALÍTICA!A:A,0),"Link"))</f>
        <v>Link</v>
      </c>
    </row>
    <row r="34" spans="1:11" s="229" customFormat="1" ht="25.5" x14ac:dyDescent="0.2">
      <c r="A34" s="223" t="s">
        <v>458</v>
      </c>
      <c r="B34" s="224" t="s">
        <v>459</v>
      </c>
      <c r="C34" s="223" t="str">
        <f>UPPER(VLOOKUP(B34,ANALÍTICA!B:J,2,0))</f>
        <v>PRÓPRIO</v>
      </c>
      <c r="D34" s="223" t="str">
        <f>UPPER(VLOOKUP(B34,ANALÍTICA!B:J,3,0))</f>
        <v>CONDULETE DE ALUMÍNIO PARA ELETRODUTO 3" COM TAMPA CEGA - FORNECIMENTO E INSTALAÇÃO</v>
      </c>
      <c r="E34" s="225" t="str">
        <f>UPPER(VLOOKUP(B34,ANALÍTICA!B:J,6,0))</f>
        <v>UNIDADE</v>
      </c>
      <c r="F34" s="230">
        <v>7</v>
      </c>
      <c r="G34" s="230">
        <f>VLOOKUP(B34,ANALÍTICA!B:J,8,0)</f>
        <v>110.22</v>
      </c>
      <c r="H34" s="230">
        <f t="shared" si="2"/>
        <v>134.71</v>
      </c>
      <c r="I34" s="230">
        <f t="shared" si="3"/>
        <v>942.97</v>
      </c>
      <c r="J34" s="226">
        <f t="shared" si="4"/>
        <v>2.8516106170262175E-3</v>
      </c>
      <c r="K34" s="143" t="str">
        <f>IF(ISBLANK($A34),"",HYPERLINK("#ANALÍTICA!A"&amp;MATCH($A34,ANALÍTICA!A:A,0),"Link"))</f>
        <v>Link</v>
      </c>
    </row>
    <row r="35" spans="1:11" s="229" customFormat="1" x14ac:dyDescent="0.2">
      <c r="A35" s="252" t="s">
        <v>461</v>
      </c>
      <c r="B35" s="252"/>
      <c r="C35" s="252"/>
      <c r="D35" s="252" t="s">
        <v>462</v>
      </c>
      <c r="E35" s="252"/>
      <c r="F35" s="253"/>
      <c r="G35" s="252"/>
      <c r="H35" s="252"/>
      <c r="I35" s="254">
        <f>SUM(I36:I40)</f>
        <v>12183.82</v>
      </c>
      <c r="J35" s="255">
        <f>SUM(J36:J40)</f>
        <v>3.684476756199706E-2</v>
      </c>
      <c r="K35" s="143" t="str">
        <f>IF(ISBLANK($A35),"",HYPERLINK("#ANALÍTICA!A"&amp;MATCH($A35,ANALÍTICA!A:A,0),"Link"))</f>
        <v>Link</v>
      </c>
    </row>
    <row r="36" spans="1:11" s="229" customFormat="1" x14ac:dyDescent="0.2">
      <c r="A36" s="223" t="s">
        <v>463</v>
      </c>
      <c r="B36" s="224" t="s">
        <v>464</v>
      </c>
      <c r="C36" s="223" t="str">
        <f>UPPER(VLOOKUP(B36,ANALÍTICA!B:J,2,0))</f>
        <v>SINAPI</v>
      </c>
      <c r="D36" s="223" t="str">
        <f>UPPER(VLOOKUP(B36,ANALÍTICA!B:J,3,0))</f>
        <v>CABO DE COBRE NU 25MM2 - FORNECIMENTO E INSTALACAO</v>
      </c>
      <c r="E36" s="225" t="str">
        <f>UPPER(VLOOKUP(B36,ANALÍTICA!B:J,6,0))</f>
        <v>M</v>
      </c>
      <c r="F36" s="230">
        <v>185</v>
      </c>
      <c r="G36" s="230">
        <f>VLOOKUP(B36,ANALÍTICA!B:J,8,0)</f>
        <v>19.64</v>
      </c>
      <c r="H36" s="230">
        <f t="shared" ref="H36:H40" si="5">TRUNC(G36*(1+J$9),2)</f>
        <v>24</v>
      </c>
      <c r="I36" s="230">
        <f t="shared" ref="I36:I40" si="6">TRUNC(H36*F36,2)</f>
        <v>4440</v>
      </c>
      <c r="J36" s="226">
        <f t="shared" ref="J36:J40" si="7">I36/$I$60</f>
        <v>1.3426886475281723E-2</v>
      </c>
      <c r="K36" s="143" t="str">
        <f>IF(ISBLANK($A36),"",HYPERLINK("#ANALÍTICA!A"&amp;MATCH($A36,ANALÍTICA!A:A,0),"Link"))</f>
        <v>Link</v>
      </c>
    </row>
    <row r="37" spans="1:11" s="229" customFormat="1" ht="25.5" x14ac:dyDescent="0.2">
      <c r="A37" s="223" t="s">
        <v>466</v>
      </c>
      <c r="B37" s="224" t="s">
        <v>467</v>
      </c>
      <c r="C37" s="223" t="str">
        <f>UPPER(VLOOKUP(B37,ANALÍTICA!B:J,2,0))</f>
        <v>PRÓPRIO</v>
      </c>
      <c r="D37" s="223" t="str">
        <f>UPPER(VLOOKUP(B37,ANALÍTICA!B:J,3,0))</f>
        <v>CHICOTE COM TERMINAL DE PRESSÃO PARA ATERRAMENTO DE MÓDULO FOTOVOLTAICO - FORNECIMENTO E INSTALAÇÃO</v>
      </c>
      <c r="E37" s="225" t="str">
        <f>UPPER(VLOOKUP(B37,ANALÍTICA!B:J,6,0))</f>
        <v>UNIDADE</v>
      </c>
      <c r="F37" s="230">
        <v>208</v>
      </c>
      <c r="G37" s="230">
        <f>VLOOKUP(B37,ANALÍTICA!B:J,8,0)</f>
        <v>21.85</v>
      </c>
      <c r="H37" s="230">
        <f t="shared" si="5"/>
        <v>26.7</v>
      </c>
      <c r="I37" s="230">
        <f t="shared" si="6"/>
        <v>5553.6</v>
      </c>
      <c r="J37" s="226">
        <f t="shared" si="7"/>
        <v>1.6794494758811843E-2</v>
      </c>
      <c r="K37" s="143" t="str">
        <f>IF(ISBLANK($A37),"",HYPERLINK("#ANALÍTICA!A"&amp;MATCH($A37,ANALÍTICA!A:A,0),"Link"))</f>
        <v>Link</v>
      </c>
    </row>
    <row r="38" spans="1:11" s="229" customFormat="1" ht="25.5" x14ac:dyDescent="0.2">
      <c r="A38" s="223" t="s">
        <v>469</v>
      </c>
      <c r="B38" s="224" t="s">
        <v>470</v>
      </c>
      <c r="C38" s="223" t="str">
        <f>UPPER(VLOOKUP(B38,ANALÍTICA!B:J,2,0))</f>
        <v>PRÓPRIO</v>
      </c>
      <c r="D38" s="223" t="str">
        <f>UPPER(VLOOKUP(B38,ANALÍTICA!B:J,3,0))</f>
        <v>TERMINAL OU CONECTOR DE PRESSAO - PARA CABO 25MM2 - FORNECIMENTO E INSTALACAO</v>
      </c>
      <c r="E38" s="225" t="str">
        <f>UPPER(VLOOKUP(B38,ANALÍTICA!B:J,6,0))</f>
        <v>UNIDADE</v>
      </c>
      <c r="F38" s="230">
        <v>1</v>
      </c>
      <c r="G38" s="230">
        <f>VLOOKUP(B38,ANALÍTICA!B:J,8,0)</f>
        <v>8.86</v>
      </c>
      <c r="H38" s="230">
        <f t="shared" si="5"/>
        <v>10.82</v>
      </c>
      <c r="I38" s="230">
        <f t="shared" si="6"/>
        <v>10.82</v>
      </c>
      <c r="J38" s="226">
        <f t="shared" si="7"/>
        <v>3.2720475599673026E-5</v>
      </c>
      <c r="K38" s="143" t="str">
        <f>IF(ISBLANK($A38),"",HYPERLINK("#ANALÍTICA!A"&amp;MATCH($A38,ANALÍTICA!A:A,0),"Link"))</f>
        <v>Link</v>
      </c>
    </row>
    <row r="39" spans="1:11" s="229" customFormat="1" ht="25.5" x14ac:dyDescent="0.2">
      <c r="A39" s="223" t="s">
        <v>472</v>
      </c>
      <c r="B39" s="224" t="s">
        <v>473</v>
      </c>
      <c r="C39" s="223" t="str">
        <f>UPPER(VLOOKUP(B39,ANALÍTICA!B:J,2,0))</f>
        <v>SINAPI</v>
      </c>
      <c r="D39" s="223" t="str">
        <f>UPPER(VLOOKUP(B39,ANALÍTICA!B:J,3,0))</f>
        <v>CONECTOR PARAFUSO FENDIDO SPLIT-BOLT - PARA CABO DE 16MM2 - FORNECIMENTO E INSTALACAO</v>
      </c>
      <c r="E39" s="225" t="str">
        <f>UPPER(VLOOKUP(B39,ANALÍTICA!B:J,6,0))</f>
        <v>UN</v>
      </c>
      <c r="F39" s="230">
        <v>72</v>
      </c>
      <c r="G39" s="230">
        <f>VLOOKUP(B39,ANALÍTICA!B:J,8,0)</f>
        <v>11.709999999999999</v>
      </c>
      <c r="H39" s="230">
        <f t="shared" si="5"/>
        <v>14.31</v>
      </c>
      <c r="I39" s="230">
        <f t="shared" si="6"/>
        <v>1030.32</v>
      </c>
      <c r="J39" s="226">
        <f t="shared" si="7"/>
        <v>3.115763439912672E-3</v>
      </c>
      <c r="K39" s="143" t="str">
        <f>IF(ISBLANK($A39),"",HYPERLINK("#ANALÍTICA!A"&amp;MATCH($A39,ANALÍTICA!A:A,0),"Link"))</f>
        <v>Link</v>
      </c>
    </row>
    <row r="40" spans="1:11" s="229" customFormat="1" ht="25.5" x14ac:dyDescent="0.2">
      <c r="A40" s="223" t="s">
        <v>561</v>
      </c>
      <c r="B40" s="224" t="s">
        <v>475</v>
      </c>
      <c r="C40" s="223" t="str">
        <f>UPPER(VLOOKUP(B40,ANALÍTICA!B:J,2,0))</f>
        <v>SINAPI</v>
      </c>
      <c r="D40" s="223" t="str">
        <f>UPPER(VLOOKUP(B40,ANALÍTICA!B:J,3,0))</f>
        <v>SUPORTE ISOLADOR PARA CORDOALHA DE COBRE - FORNECIMENTO E INSTALAÇÃO. AF_12/2017</v>
      </c>
      <c r="E40" s="225" t="str">
        <f>UPPER(VLOOKUP(B40,ANALÍTICA!B:J,6,0))</f>
        <v>UN</v>
      </c>
      <c r="F40" s="230">
        <v>46</v>
      </c>
      <c r="G40" s="230">
        <f>VLOOKUP(B40,ANALÍTICA!B:J,8,0)</f>
        <v>20.440000000000005</v>
      </c>
      <c r="H40" s="230">
        <f t="shared" si="5"/>
        <v>24.98</v>
      </c>
      <c r="I40" s="230">
        <f t="shared" si="6"/>
        <v>1149.08</v>
      </c>
      <c r="J40" s="226">
        <f t="shared" si="7"/>
        <v>3.4749024123911535E-3</v>
      </c>
      <c r="K40" s="143" t="str">
        <f>IF(ISBLANK($A40),"",HYPERLINK("#ANALÍTICA!A"&amp;MATCH($A40,ANALÍTICA!A:A,0),"Link"))</f>
        <v>Link</v>
      </c>
    </row>
    <row r="41" spans="1:11" s="229" customFormat="1" x14ac:dyDescent="0.2">
      <c r="A41" s="252" t="s">
        <v>477</v>
      </c>
      <c r="B41" s="252"/>
      <c r="C41" s="252"/>
      <c r="D41" s="252" t="s">
        <v>478</v>
      </c>
      <c r="E41" s="252"/>
      <c r="F41" s="253"/>
      <c r="G41" s="252"/>
      <c r="H41" s="252"/>
      <c r="I41" s="254">
        <f>SUM(I42:I49)</f>
        <v>20431.399999999998</v>
      </c>
      <c r="J41" s="255">
        <f>SUM(J42:J49)</f>
        <v>6.1786055930421399E-2</v>
      </c>
      <c r="K41" s="143" t="str">
        <f>IF(ISBLANK($A41),"",HYPERLINK("#ANALÍTICA!A"&amp;MATCH($A41,ANALÍTICA!A:A,0),"Link"))</f>
        <v>Link</v>
      </c>
    </row>
    <row r="42" spans="1:11" s="229" customFormat="1" x14ac:dyDescent="0.2">
      <c r="A42" s="223" t="s">
        <v>479</v>
      </c>
      <c r="B42" s="224" t="s">
        <v>480</v>
      </c>
      <c r="C42" s="223" t="str">
        <f>UPPER(VLOOKUP(B42,ANALÍTICA!B:J,2,0))</f>
        <v>PRÓPRIO</v>
      </c>
      <c r="D42" s="223" t="str">
        <f>UPPER(VLOOKUP(B42,ANALÍTICA!B:J,3,0))</f>
        <v>CABO SOLAR 4 MM² - FORNECIMENTO E INSTALAÇÃO</v>
      </c>
      <c r="E42" s="225" t="str">
        <f>UPPER(VLOOKUP(B42,ANALÍTICA!B:J,6,0))</f>
        <v>METRO</v>
      </c>
      <c r="F42" s="230">
        <v>1168</v>
      </c>
      <c r="G42" s="230">
        <f>VLOOKUP(B42,ANALÍTICA!B:J,8,0)</f>
        <v>10.85</v>
      </c>
      <c r="H42" s="230">
        <f t="shared" ref="H42:H49" si="8">TRUNC(G42*(1+J$9),2)</f>
        <v>13.26</v>
      </c>
      <c r="I42" s="230">
        <f t="shared" ref="I42:I49" si="9">TRUNC(H42*F42,2)</f>
        <v>15487.68</v>
      </c>
      <c r="J42" s="226">
        <f t="shared" ref="J42:J49" si="10">I42/$I$60</f>
        <v>4.6835883136371902E-2</v>
      </c>
      <c r="K42" s="143" t="str">
        <f>IF(ISBLANK($A42),"",HYPERLINK("#ANALÍTICA!A"&amp;MATCH($A42,ANALÍTICA!A:A,0),"Link"))</f>
        <v>Link</v>
      </c>
    </row>
    <row r="43" spans="1:11" s="229" customFormat="1" x14ac:dyDescent="0.2">
      <c r="A43" s="223" t="s">
        <v>482</v>
      </c>
      <c r="B43" s="224" t="s">
        <v>483</v>
      </c>
      <c r="C43" s="223" t="str">
        <f>UPPER(VLOOKUP(B43,ANALÍTICA!B:J,2,0))</f>
        <v>PRÓPRIO</v>
      </c>
      <c r="D43" s="223" t="str">
        <f>UPPER(VLOOKUP(B43,ANALÍTICA!B:J,3,0))</f>
        <v>CONECTOR MC4 - FORNECIMENTO E INSTALAÇÃO</v>
      </c>
      <c r="E43" s="225" t="str">
        <f>UPPER(VLOOKUP(B43,ANALÍTICA!B:J,6,0))</f>
        <v>UNIDADE</v>
      </c>
      <c r="F43" s="230">
        <v>64</v>
      </c>
      <c r="G43" s="230">
        <f>VLOOKUP(B43,ANALÍTICA!B:J,8,0)</f>
        <v>20.25</v>
      </c>
      <c r="H43" s="230">
        <f t="shared" si="8"/>
        <v>24.75</v>
      </c>
      <c r="I43" s="230">
        <f t="shared" si="9"/>
        <v>1584</v>
      </c>
      <c r="J43" s="226">
        <f t="shared" si="10"/>
        <v>4.790132472262669E-3</v>
      </c>
      <c r="K43" s="143" t="str">
        <f>IF(ISBLANK($A43),"",HYPERLINK("#ANALÍTICA!A"&amp;MATCH($A43,ANALÍTICA!A:A,0),"Link"))</f>
        <v>Link</v>
      </c>
    </row>
    <row r="44" spans="1:11" s="229" customFormat="1" ht="25.5" x14ac:dyDescent="0.2">
      <c r="A44" s="223" t="s">
        <v>485</v>
      </c>
      <c r="B44" s="224" t="s">
        <v>486</v>
      </c>
      <c r="C44" s="223" t="str">
        <f>UPPER(VLOOKUP(B44,ANALÍTICA!B:J,2,0))</f>
        <v>SINAPI</v>
      </c>
      <c r="D44" s="223" t="str">
        <f>UPPER(VLOOKUP(B44,ANALÍTICA!B:J,3,0))</f>
        <v>CABO DE COBRE FLEXÍVEL ISOLADO, 50 MM², ANTI-CHAMA 0,6/1,0 KV, PARA DISTRIBUIÇÃO - FORNECIMENTO E INSTALAÇÃO. AF_12/2015</v>
      </c>
      <c r="E44" s="225" t="str">
        <f>UPPER(VLOOKUP(B44,ANALÍTICA!B:J,6,0))</f>
        <v>M</v>
      </c>
      <c r="F44" s="230">
        <v>16</v>
      </c>
      <c r="G44" s="230">
        <f>VLOOKUP(B44,ANALÍTICA!B:J,8,0)</f>
        <v>31.18</v>
      </c>
      <c r="H44" s="230">
        <f t="shared" si="8"/>
        <v>38.11</v>
      </c>
      <c r="I44" s="230">
        <f t="shared" si="9"/>
        <v>609.76</v>
      </c>
      <c r="J44" s="226">
        <f t="shared" si="10"/>
        <v>1.8439590759386898E-3</v>
      </c>
      <c r="K44" s="143" t="str">
        <f>IF(ISBLANK($A44),"",HYPERLINK("#ANALÍTICA!A"&amp;MATCH($A44,ANALÍTICA!A:A,0),"Link"))</f>
        <v>Link</v>
      </c>
    </row>
    <row r="45" spans="1:11" s="229" customFormat="1" ht="25.5" x14ac:dyDescent="0.2">
      <c r="A45" s="223" t="s">
        <v>488</v>
      </c>
      <c r="B45" s="224" t="s">
        <v>489</v>
      </c>
      <c r="C45" s="223" t="str">
        <f>UPPER(VLOOKUP(B45,ANALÍTICA!B:J,2,0))</f>
        <v>SINAPI</v>
      </c>
      <c r="D45" s="223" t="str">
        <f>UPPER(VLOOKUP(B45,ANALÍTICA!B:J,3,0))</f>
        <v>TERMINAL OU CONECTOR DE PRESSAO - PARA CABO 50MM2 - FORNECIMENTO E INSTALACAO</v>
      </c>
      <c r="E45" s="225" t="str">
        <f>UPPER(VLOOKUP(B45,ANALÍTICA!B:J,6,0))</f>
        <v>UN</v>
      </c>
      <c r="F45" s="230">
        <v>8</v>
      </c>
      <c r="G45" s="230">
        <f>VLOOKUP(B45,ANALÍTICA!B:J,8,0)</f>
        <v>20.02</v>
      </c>
      <c r="H45" s="230">
        <f t="shared" si="8"/>
        <v>24.46</v>
      </c>
      <c r="I45" s="230">
        <f t="shared" si="9"/>
        <v>195.68</v>
      </c>
      <c r="J45" s="226">
        <f t="shared" si="10"/>
        <v>5.9175070844214581E-4</v>
      </c>
      <c r="K45" s="143" t="str">
        <f>IF(ISBLANK($A45),"",HYPERLINK("#ANALÍTICA!A"&amp;MATCH($A45,ANALÍTICA!A:A,0),"Link"))</f>
        <v>Link</v>
      </c>
    </row>
    <row r="46" spans="1:11" s="229" customFormat="1" ht="25.5" x14ac:dyDescent="0.2">
      <c r="A46" s="223" t="s">
        <v>491</v>
      </c>
      <c r="B46" s="224" t="s">
        <v>492</v>
      </c>
      <c r="C46" s="223" t="str">
        <f>UPPER(VLOOKUP(B46,ANALÍTICA!B:J,2,0))</f>
        <v>SINAPI</v>
      </c>
      <c r="D46" s="223" t="str">
        <f>UPPER(VLOOKUP(B46,ANALÍTICA!B:J,3,0))</f>
        <v>CABO DE COBRE FLEXÍVEL ISOLADO, 25 MM², ANTI-CHAMA 0,6/1,0 KV, PARA DISTRIBUIÇÃO - FORNECIMENTO E INSTALAÇÃO. AF_12/2015</v>
      </c>
      <c r="E46" s="225" t="str">
        <f>UPPER(VLOOKUP(B46,ANALÍTICA!B:J,6,0))</f>
        <v>M</v>
      </c>
      <c r="F46" s="230">
        <v>100</v>
      </c>
      <c r="G46" s="230">
        <f>VLOOKUP(B46,ANALÍTICA!B:J,8,0)</f>
        <v>16.59</v>
      </c>
      <c r="H46" s="230">
        <f t="shared" si="8"/>
        <v>20.27</v>
      </c>
      <c r="I46" s="230">
        <f t="shared" si="9"/>
        <v>2027</v>
      </c>
      <c r="J46" s="226">
        <f t="shared" si="10"/>
        <v>6.1297970462603725E-3</v>
      </c>
      <c r="K46" s="143" t="str">
        <f>IF(ISBLANK($A46),"",HYPERLINK("#ANALÍTICA!A"&amp;MATCH($A46,ANALÍTICA!A:A,0),"Link"))</f>
        <v>Link</v>
      </c>
    </row>
    <row r="47" spans="1:11" s="229" customFormat="1" ht="25.5" x14ac:dyDescent="0.2">
      <c r="A47" s="223" t="s">
        <v>494</v>
      </c>
      <c r="B47" s="224" t="s">
        <v>470</v>
      </c>
      <c r="C47" s="223" t="str">
        <f>UPPER(VLOOKUP(B47,ANALÍTICA!B:J,2,0))</f>
        <v>PRÓPRIO</v>
      </c>
      <c r="D47" s="223" t="str">
        <f>UPPER(VLOOKUP(B47,ANALÍTICA!B:J,3,0))</f>
        <v>TERMINAL OU CONECTOR DE PRESSAO - PARA CABO 25MM2 - FORNECIMENTO E INSTALACAO</v>
      </c>
      <c r="E47" s="225" t="str">
        <f>UPPER(VLOOKUP(B47,ANALÍTICA!B:J,6,0))</f>
        <v>UNIDADE</v>
      </c>
      <c r="F47" s="230">
        <v>18</v>
      </c>
      <c r="G47" s="230">
        <f>VLOOKUP(B47,ANALÍTICA!B:J,8,0)</f>
        <v>8.86</v>
      </c>
      <c r="H47" s="230">
        <f t="shared" si="8"/>
        <v>10.82</v>
      </c>
      <c r="I47" s="230">
        <f t="shared" si="9"/>
        <v>194.76</v>
      </c>
      <c r="J47" s="226">
        <f t="shared" si="10"/>
        <v>5.8896856079411442E-4</v>
      </c>
      <c r="K47" s="143" t="str">
        <f>IF(ISBLANK($A47),"",HYPERLINK("#ANALÍTICA!A"&amp;MATCH($A47,ANALÍTICA!A:A,0),"Link"))</f>
        <v>Link</v>
      </c>
    </row>
    <row r="48" spans="1:11" s="229" customFormat="1" ht="25.5" x14ac:dyDescent="0.2">
      <c r="A48" s="223" t="s">
        <v>495</v>
      </c>
      <c r="B48" s="224" t="s">
        <v>279</v>
      </c>
      <c r="C48" s="223" t="str">
        <f>UPPER(VLOOKUP(B48,ANALÍTICA!B:J,2,0))</f>
        <v>SINAPI</v>
      </c>
      <c r="D48" s="223" t="str">
        <f>UPPER(VLOOKUP(B48,ANALÍTICA!B:J,3,0))</f>
        <v>CABO DE COBRE FLEXÍVEL ISOLADO, 16 MM², ANTI-CHAMA 0,6/1,0 KV, PARA DISTRIBUIÇÃO - FORNECIMENTO E INSTALAÇÃO. AF_12/2015</v>
      </c>
      <c r="E48" s="225" t="str">
        <f>UPPER(VLOOKUP(B48,ANALÍTICA!B:J,6,0))</f>
        <v>M</v>
      </c>
      <c r="F48" s="230">
        <v>24</v>
      </c>
      <c r="G48" s="230">
        <f>VLOOKUP(B48,ANALÍTICA!B:J,8,0)</f>
        <v>9.9400000000000013</v>
      </c>
      <c r="H48" s="230">
        <f t="shared" si="8"/>
        <v>12.14</v>
      </c>
      <c r="I48" s="230">
        <f t="shared" si="9"/>
        <v>291.36</v>
      </c>
      <c r="J48" s="226">
        <f t="shared" si="10"/>
        <v>8.8109406383740608E-4</v>
      </c>
      <c r="K48" s="143" t="str">
        <f>IF(ISBLANK($A48),"",HYPERLINK("#ANALÍTICA!A"&amp;MATCH($A48,ANALÍTICA!A:A,0),"Link"))</f>
        <v>Link</v>
      </c>
    </row>
    <row r="49" spans="1:12" s="229" customFormat="1" ht="25.5" x14ac:dyDescent="0.2">
      <c r="A49" s="223" t="s">
        <v>496</v>
      </c>
      <c r="B49" s="224" t="s">
        <v>497</v>
      </c>
      <c r="C49" s="223" t="str">
        <f>UPPER(VLOOKUP(B49,ANALÍTICA!B:J,2,0))</f>
        <v>PRÓPRIO</v>
      </c>
      <c r="D49" s="223" t="str">
        <f>UPPER(VLOOKUP(B49,ANALÍTICA!B:J,3,0))</f>
        <v>TERMINAL OU CONECTOR DE PRESSAO - PARA CABO 16MM2 - FORNECIMENTO E INSTALACAO</v>
      </c>
      <c r="E49" s="225" t="str">
        <f>UPPER(VLOOKUP(B49,ANALÍTICA!B:J,6,0))</f>
        <v>UNIDADE</v>
      </c>
      <c r="F49" s="230">
        <v>4</v>
      </c>
      <c r="G49" s="230">
        <f>VLOOKUP(B49,ANALÍTICA!B:J,8,0)</f>
        <v>8.42</v>
      </c>
      <c r="H49" s="230">
        <f t="shared" si="8"/>
        <v>10.29</v>
      </c>
      <c r="I49" s="230">
        <f t="shared" si="9"/>
        <v>41.16</v>
      </c>
      <c r="J49" s="226">
        <f t="shared" si="10"/>
        <v>1.2447086651409811E-4</v>
      </c>
      <c r="K49" s="143" t="str">
        <f>IF(ISBLANK($A49),"",HYPERLINK("#ANALÍTICA!A"&amp;MATCH($A49,ANALÍTICA!A:A,0),"Link"))</f>
        <v>Link</v>
      </c>
    </row>
    <row r="50" spans="1:12" s="229" customFormat="1" x14ac:dyDescent="0.2">
      <c r="A50" s="252" t="s">
        <v>499</v>
      </c>
      <c r="B50" s="252"/>
      <c r="C50" s="252"/>
      <c r="D50" s="252" t="s">
        <v>500</v>
      </c>
      <c r="E50" s="252"/>
      <c r="F50" s="253"/>
      <c r="G50" s="252"/>
      <c r="H50" s="252"/>
      <c r="I50" s="254">
        <f>I51</f>
        <v>2574.42</v>
      </c>
      <c r="J50" s="255">
        <f>J51</f>
        <v>7.7852353783096333E-3</v>
      </c>
      <c r="K50" s="143" t="str">
        <f>IF(ISBLANK($A50),"",HYPERLINK("#ANALÍTICA!A"&amp;MATCH($A50,ANALÍTICA!A:A,0),"Link"))</f>
        <v>Link</v>
      </c>
    </row>
    <row r="51" spans="1:12" s="229" customFormat="1" ht="25.5" x14ac:dyDescent="0.2">
      <c r="A51" s="223" t="s">
        <v>501</v>
      </c>
      <c r="B51" s="224" t="s">
        <v>502</v>
      </c>
      <c r="C51" s="223" t="str">
        <f>UPPER(VLOOKUP(B51,ANALÍTICA!B:J,2,0))</f>
        <v>PRÓPRIO</v>
      </c>
      <c r="D51" s="223" t="str">
        <f>UPPER(VLOOKUP(B51,ANALÍTICA!B:J,3,0))</f>
        <v>QUADRO DE CONEXÃO DOS INVERSORES - FORNECIMENTO E INSTALAÇÃO.</v>
      </c>
      <c r="E51" s="225" t="str">
        <f>UPPER(VLOOKUP(B51,ANALÍTICA!B:J,6,0))</f>
        <v>UNIDADE</v>
      </c>
      <c r="F51" s="230">
        <v>1</v>
      </c>
      <c r="G51" s="230">
        <f>VLOOKUP(B51,ANALÍTICA!B:J,8,0)</f>
        <v>2106.2799999999997</v>
      </c>
      <c r="H51" s="230">
        <f>TRUNC(G51*(1+J$9),2)</f>
        <v>2574.42</v>
      </c>
      <c r="I51" s="230">
        <f>TRUNC(H51*F51,2)</f>
        <v>2574.42</v>
      </c>
      <c r="J51" s="226">
        <f>I51/$I$60</f>
        <v>7.7852353783096333E-3</v>
      </c>
      <c r="K51" s="143" t="str">
        <f>IF(ISBLANK($A51),"",HYPERLINK("#ANALÍTICA!A"&amp;MATCH($A51,ANALÍTICA!A:A,0),"Link"))</f>
        <v>Link</v>
      </c>
    </row>
    <row r="52" spans="1:12" s="229" customFormat="1" x14ac:dyDescent="0.2">
      <c r="A52" s="191" t="s">
        <v>504</v>
      </c>
      <c r="B52" s="191"/>
      <c r="C52" s="191"/>
      <c r="D52" s="191" t="s">
        <v>16</v>
      </c>
      <c r="E52" s="191"/>
      <c r="F52" s="197"/>
      <c r="G52" s="198"/>
      <c r="H52" s="198"/>
      <c r="I52" s="256">
        <f>SUM(I53:I54)</f>
        <v>14098.56</v>
      </c>
      <c r="J52" s="192">
        <f>SUM(J53:J54)</f>
        <v>4.2635082113727005E-2</v>
      </c>
      <c r="K52" s="143" t="str">
        <f>IF(ISBLANK($A52),"",HYPERLINK("#ANALÍTICA!A"&amp;MATCH($A52,ANALÍTICA!A:A,0),"Link"))</f>
        <v>Link</v>
      </c>
    </row>
    <row r="53" spans="1:12" s="229" customFormat="1" x14ac:dyDescent="0.2">
      <c r="A53" s="223" t="s">
        <v>505</v>
      </c>
      <c r="B53" s="224" t="s">
        <v>275</v>
      </c>
      <c r="C53" s="223" t="str">
        <f>UPPER(VLOOKUP(B53,ANALÍTICA!B:J,2,0))</f>
        <v>SINAPI</v>
      </c>
      <c r="D53" s="223" t="str">
        <f>UPPER(VLOOKUP(B53,ANALÍTICA!B:J,3,0))</f>
        <v>ENGENHEIRO ELETRICISTA COM ENCARGOS COMPLEMENTARES</v>
      </c>
      <c r="E53" s="225" t="str">
        <f>UPPER(VLOOKUP(B53,ANALÍTICA!B:J,6,0))</f>
        <v>H</v>
      </c>
      <c r="F53" s="230">
        <v>48</v>
      </c>
      <c r="G53" s="230">
        <f>VLOOKUP(B53,ANALÍTICA!B:J,8,0)</f>
        <v>126.34</v>
      </c>
      <c r="H53" s="230">
        <f t="shared" ref="H53:H54" si="11">TRUNC(G53*(1+J$9),2)</f>
        <v>154.41999999999999</v>
      </c>
      <c r="I53" s="230">
        <f t="shared" ref="I53:I54" si="12">TRUNC(H53*F53,2)</f>
        <v>7412.16</v>
      </c>
      <c r="J53" s="226">
        <f t="shared" ref="J53:J54" si="13">I53/$I$60</f>
        <v>2.241491685960004E-2</v>
      </c>
      <c r="K53" s="143" t="str">
        <f>IF(ISBLANK($A53),"",HYPERLINK("#ANALÍTICA!A"&amp;MATCH($A53,ANALÍTICA!A:A,0),"Link"))</f>
        <v>Link</v>
      </c>
    </row>
    <row r="54" spans="1:12" s="229" customFormat="1" x14ac:dyDescent="0.2">
      <c r="A54" s="223" t="s">
        <v>506</v>
      </c>
      <c r="B54" s="224" t="s">
        <v>286</v>
      </c>
      <c r="C54" s="223" t="str">
        <f>UPPER(VLOOKUP(B54,ANALÍTICA!B:J,2,0))</f>
        <v>SINAPI</v>
      </c>
      <c r="D54" s="223" t="str">
        <f>UPPER(VLOOKUP(B54,ANALÍTICA!B:J,3,0))</f>
        <v>ELETROTÉCNICO COM ENCARGOS COMPLEMENTARES</v>
      </c>
      <c r="E54" s="225" t="str">
        <f>UPPER(VLOOKUP(B54,ANALÍTICA!B:J,6,0))</f>
        <v>H</v>
      </c>
      <c r="F54" s="230">
        <v>240</v>
      </c>
      <c r="G54" s="230">
        <f>VLOOKUP(B54,ANALÍTICA!B:J,8,0)</f>
        <v>22.800000000000004</v>
      </c>
      <c r="H54" s="230">
        <f t="shared" si="11"/>
        <v>27.86</v>
      </c>
      <c r="I54" s="230">
        <f t="shared" si="12"/>
        <v>6686.4</v>
      </c>
      <c r="J54" s="226">
        <f t="shared" si="13"/>
        <v>2.0220165254126961E-2</v>
      </c>
      <c r="K54" s="143" t="str">
        <f>IF(ISBLANK($A54),"",HYPERLINK("#ANALÍTICA!A"&amp;MATCH($A54,ANALÍTICA!A:A,0),"Link"))</f>
        <v>Link</v>
      </c>
    </row>
    <row r="55" spans="1:12" ht="20.100000000000001" customHeight="1" x14ac:dyDescent="0.2">
      <c r="A55" s="262"/>
      <c r="B55" s="262"/>
      <c r="C55" s="262"/>
      <c r="D55" s="262"/>
      <c r="E55" s="262"/>
      <c r="F55" s="262"/>
      <c r="G55" s="262"/>
      <c r="H55" s="262"/>
      <c r="I55" s="262"/>
      <c r="J55" s="262"/>
    </row>
    <row r="56" spans="1:12" ht="30" customHeight="1" x14ac:dyDescent="0.2">
      <c r="A56" s="272" t="s">
        <v>174</v>
      </c>
      <c r="B56" s="273"/>
      <c r="C56" s="273"/>
      <c r="D56" s="273"/>
      <c r="E56" s="273"/>
      <c r="F56" s="273"/>
      <c r="G56" s="273"/>
      <c r="H56" s="274"/>
      <c r="I56" s="263">
        <v>330679.78999999998</v>
      </c>
      <c r="J56" s="264"/>
    </row>
    <row r="57" spans="1:12" ht="20.100000000000001" customHeight="1" x14ac:dyDescent="0.2">
      <c r="A57" s="262"/>
      <c r="B57" s="262"/>
      <c r="C57" s="262"/>
      <c r="D57" s="262"/>
      <c r="E57" s="262"/>
      <c r="F57" s="262"/>
      <c r="G57" s="262"/>
      <c r="H57" s="262"/>
      <c r="I57" s="262"/>
      <c r="J57" s="262"/>
    </row>
    <row r="58" spans="1:12" ht="30" customHeight="1" x14ac:dyDescent="0.2">
      <c r="A58" s="272" t="s">
        <v>175</v>
      </c>
      <c r="B58" s="273"/>
      <c r="C58" s="273"/>
      <c r="D58" s="273"/>
      <c r="E58" s="273"/>
      <c r="F58" s="273"/>
      <c r="G58" s="273"/>
      <c r="H58" s="274"/>
      <c r="I58" s="275">
        <v>0</v>
      </c>
      <c r="J58" s="276"/>
    </row>
    <row r="59" spans="1:12" ht="20.100000000000001" customHeight="1" x14ac:dyDescent="0.2">
      <c r="A59" s="262"/>
      <c r="B59" s="262"/>
      <c r="C59" s="262"/>
      <c r="D59" s="262"/>
      <c r="E59" s="262"/>
      <c r="F59" s="262"/>
      <c r="G59" s="262"/>
      <c r="H59" s="262"/>
      <c r="I59" s="262"/>
      <c r="J59" s="262"/>
    </row>
    <row r="60" spans="1:12" ht="30" customHeight="1" x14ac:dyDescent="0.2">
      <c r="A60" s="265" t="s">
        <v>176</v>
      </c>
      <c r="B60" s="266"/>
      <c r="C60" s="266"/>
      <c r="D60" s="266"/>
      <c r="E60" s="266"/>
      <c r="F60" s="266"/>
      <c r="G60" s="266"/>
      <c r="H60" s="267"/>
      <c r="I60" s="263">
        <f>I52+I29+I25+I23+I15</f>
        <v>330679.78999999998</v>
      </c>
      <c r="J60" s="264"/>
      <c r="L60" s="199"/>
    </row>
    <row r="61" spans="1:12" ht="20.100000000000001" customHeight="1" x14ac:dyDescent="0.2">
      <c r="A61" s="269"/>
      <c r="B61" s="269"/>
      <c r="C61" s="269"/>
      <c r="D61" s="269"/>
      <c r="E61" s="269"/>
      <c r="F61" s="269"/>
      <c r="G61" s="269"/>
      <c r="H61" s="269"/>
      <c r="I61" s="269"/>
      <c r="J61" s="269"/>
    </row>
    <row r="62" spans="1:12" ht="30" customHeight="1" x14ac:dyDescent="0.2">
      <c r="A62" s="271" t="s">
        <v>177</v>
      </c>
      <c r="B62" s="271"/>
      <c r="C62" s="271"/>
      <c r="D62" s="271"/>
      <c r="E62" s="271"/>
      <c r="F62" s="271"/>
      <c r="G62" s="271"/>
      <c r="H62" s="271"/>
      <c r="I62" s="270">
        <f>(I56-I60)/I56</f>
        <v>0</v>
      </c>
      <c r="J62" s="270"/>
    </row>
    <row r="63" spans="1:12" s="72" customFormat="1" ht="20.100000000000001" customHeight="1" x14ac:dyDescent="0.2">
      <c r="A63" s="268" t="s">
        <v>178</v>
      </c>
      <c r="B63" s="268"/>
      <c r="C63" s="268"/>
      <c r="D63" s="268"/>
      <c r="E63" s="268"/>
      <c r="F63" s="268"/>
      <c r="G63" s="268"/>
      <c r="H63" s="268"/>
      <c r="I63" s="268"/>
      <c r="J63" s="268"/>
    </row>
  </sheetData>
  <sheetProtection algorithmName="SHA-512" hashValue="Gw5pCCRJvU0hrRwMFI9Pg1QTLEPm3wd/yFogAUiv2v/NRpA4tUEpfmqtquBHk8aIb+nJLNwVmK00DD3QfX20Wg==" saltValue="KA5Tzb4m9IfYmRwEKfcmCw==" spinCount="100000" sheet="1" objects="1" scenarios="1"/>
  <mergeCells count="24">
    <mergeCell ref="A1:J1"/>
    <mergeCell ref="A2:J2"/>
    <mergeCell ref="A3:J3"/>
    <mergeCell ref="A6:J6"/>
    <mergeCell ref="E8:I8"/>
    <mergeCell ref="E9:I9"/>
    <mergeCell ref="E11:I11"/>
    <mergeCell ref="A4:J4"/>
    <mergeCell ref="A5:J5"/>
    <mergeCell ref="A7:J7"/>
    <mergeCell ref="E10:I10"/>
    <mergeCell ref="A55:J55"/>
    <mergeCell ref="I56:J56"/>
    <mergeCell ref="A56:H56"/>
    <mergeCell ref="A57:J57"/>
    <mergeCell ref="I58:J58"/>
    <mergeCell ref="A58:H58"/>
    <mergeCell ref="A59:J59"/>
    <mergeCell ref="I60:J60"/>
    <mergeCell ref="A60:H60"/>
    <mergeCell ref="A63:J63"/>
    <mergeCell ref="A61:J61"/>
    <mergeCell ref="I62:J62"/>
    <mergeCell ref="A62:H62"/>
  </mergeCells>
  <pageMargins left="0.78740157480314965" right="0.78740157480314965" top="0.78740157480314965" bottom="0.78740157480314965" header="0.51181102362204722" footer="0.51181102362204722"/>
  <pageSetup paperSize="9" scale="64" fitToHeight="0" orientation="landscape" r:id="rId1"/>
  <headerFooter>
    <oddHeader xml:space="preserve">&amp;L </oddHeader>
    <oddFooter>&amp;L &amp;R&amp;P de &amp;N</oddFooter>
  </headerFooter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3"/>
  <dimension ref="A1:AD306"/>
  <sheetViews>
    <sheetView showOutlineSymbols="0" showWhiteSpace="0" view="pageBreakPreview" topLeftCell="A262" zoomScaleNormal="100" zoomScaleSheetLayoutView="100" workbookViewId="0">
      <selection activeCell="H276" sqref="H276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8" width="12" bestFit="1" customWidth="1"/>
    <col min="9" max="9" width="13" bestFit="1" customWidth="1"/>
    <col min="10" max="10" width="14" bestFit="1" customWidth="1"/>
    <col min="11" max="11" width="0" style="72" hidden="1" customWidth="1"/>
    <col min="12" max="12" width="10.625" style="149" hidden="1" customWidth="1"/>
    <col min="13" max="18" width="10.625" style="160" hidden="1" customWidth="1"/>
    <col min="19" max="29" width="0" style="160" hidden="1" customWidth="1"/>
    <col min="30" max="31" width="0" hidden="1" customWidth="1"/>
  </cols>
  <sheetData>
    <row r="1" spans="1:30" s="6" customFormat="1" ht="15" customHeight="1" x14ac:dyDescent="0.2">
      <c r="A1" s="279"/>
      <c r="B1" s="279"/>
      <c r="C1" s="279"/>
      <c r="D1" s="279"/>
      <c r="E1" s="279"/>
      <c r="F1" s="279"/>
      <c r="G1" s="279"/>
      <c r="H1" s="279"/>
      <c r="I1" s="279"/>
      <c r="J1" s="279"/>
      <c r="K1" s="72"/>
      <c r="L1" s="149"/>
      <c r="M1" s="160"/>
      <c r="N1" s="160"/>
      <c r="O1" s="160"/>
      <c r="P1" s="293"/>
      <c r="Q1" s="293"/>
      <c r="R1" s="160"/>
      <c r="S1" s="160"/>
      <c r="T1" s="160"/>
      <c r="U1" s="160"/>
      <c r="V1" s="160"/>
      <c r="W1" s="293"/>
      <c r="X1" s="293"/>
      <c r="Y1" s="160"/>
      <c r="Z1" s="160"/>
      <c r="AA1" s="160"/>
      <c r="AB1" s="160"/>
      <c r="AC1" s="160"/>
    </row>
    <row r="2" spans="1:30" s="6" customFormat="1" ht="15" customHeight="1" x14ac:dyDescent="0.2">
      <c r="A2" s="278" t="str">
        <f>INSTRUÇÕES!A2</f>
        <v>PROCURADORIA GERAL DA REPÚBLICA</v>
      </c>
      <c r="B2" s="278"/>
      <c r="C2" s="278"/>
      <c r="D2" s="278"/>
      <c r="E2" s="278"/>
      <c r="F2" s="278"/>
      <c r="G2" s="278"/>
      <c r="H2" s="278"/>
      <c r="I2" s="278"/>
      <c r="J2" s="278"/>
      <c r="K2" s="72"/>
      <c r="L2" s="149"/>
      <c r="M2" s="160"/>
      <c r="N2" s="160"/>
      <c r="O2" s="160"/>
      <c r="P2" s="160"/>
      <c r="Q2" s="160"/>
      <c r="R2" s="160"/>
      <c r="S2" s="160"/>
      <c r="T2" s="160"/>
      <c r="U2" s="160"/>
      <c r="V2" s="160"/>
      <c r="W2" s="160"/>
      <c r="X2" s="160"/>
      <c r="Y2" s="160"/>
      <c r="Z2" s="160"/>
      <c r="AA2" s="160"/>
      <c r="AB2" s="160"/>
      <c r="AC2" s="160"/>
    </row>
    <row r="3" spans="1:30" s="6" customFormat="1" ht="15" customHeight="1" x14ac:dyDescent="0.2">
      <c r="A3" s="278" t="str">
        <f>INSTRUÇÕES!A3</f>
        <v>SECRETARIA DE ENGENHARIA E ARQUITETURA</v>
      </c>
      <c r="B3" s="278"/>
      <c r="C3" s="278"/>
      <c r="D3" s="278"/>
      <c r="E3" s="278"/>
      <c r="F3" s="278"/>
      <c r="G3" s="278"/>
      <c r="H3" s="278"/>
      <c r="I3" s="278"/>
      <c r="J3" s="278"/>
      <c r="K3" s="72"/>
      <c r="L3" s="149"/>
      <c r="M3" s="160"/>
      <c r="N3" s="160"/>
      <c r="O3" s="160"/>
      <c r="P3" s="293"/>
      <c r="Q3" s="293"/>
      <c r="R3" s="160"/>
      <c r="S3" s="160"/>
      <c r="T3" s="160"/>
      <c r="U3" s="160"/>
      <c r="V3" s="160"/>
      <c r="W3" s="293"/>
      <c r="X3" s="293"/>
      <c r="Y3" s="160"/>
      <c r="Z3" s="160"/>
      <c r="AA3" s="160"/>
      <c r="AB3" s="160"/>
      <c r="AC3" s="160"/>
    </row>
    <row r="4" spans="1:30" s="6" customFormat="1" ht="15" customHeight="1" x14ac:dyDescent="0.2">
      <c r="A4" s="278"/>
      <c r="B4" s="278"/>
      <c r="C4" s="278"/>
      <c r="D4" s="278"/>
      <c r="E4" s="278"/>
      <c r="F4" s="278"/>
      <c r="G4" s="278"/>
      <c r="H4" s="278"/>
      <c r="I4" s="278"/>
      <c r="J4" s="278"/>
      <c r="K4" s="72"/>
      <c r="L4" s="149"/>
      <c r="M4" s="160"/>
      <c r="N4" s="160"/>
      <c r="O4" s="160"/>
      <c r="P4" s="160"/>
      <c r="Q4" s="160"/>
      <c r="R4" s="160"/>
      <c r="S4" s="160"/>
      <c r="T4" s="160"/>
      <c r="U4" s="160"/>
      <c r="V4" s="160"/>
      <c r="W4" s="160"/>
      <c r="X4" s="160"/>
      <c r="Y4" s="160"/>
      <c r="Z4" s="160"/>
      <c r="AA4" s="160"/>
      <c r="AB4" s="160"/>
      <c r="AC4" s="160"/>
    </row>
    <row r="5" spans="1:30" s="6" customFormat="1" ht="15" customHeight="1" x14ac:dyDescent="0.2">
      <c r="A5" s="278" t="str">
        <f>INSTRUÇÕES!A6</f>
        <v>OBRA: INSTALAÇÃO DE MICROGERAÇÃO DISTRIBUIDA NA PRM-SANTAREM / PA / MPF</v>
      </c>
      <c r="B5" s="278"/>
      <c r="C5" s="278"/>
      <c r="D5" s="278"/>
      <c r="E5" s="278"/>
      <c r="F5" s="278"/>
      <c r="G5" s="278"/>
      <c r="H5" s="278"/>
      <c r="I5" s="278"/>
      <c r="J5" s="278"/>
      <c r="K5" s="72"/>
      <c r="L5" s="149"/>
      <c r="M5" s="160"/>
      <c r="N5" s="160"/>
      <c r="O5" s="160"/>
      <c r="P5" s="293"/>
      <c r="Q5" s="293"/>
      <c r="R5" s="160"/>
      <c r="S5" s="160"/>
      <c r="T5" s="160"/>
      <c r="U5" s="160"/>
      <c r="V5" s="160"/>
      <c r="W5" s="293"/>
      <c r="X5" s="293"/>
      <c r="Y5" s="160"/>
      <c r="Z5" s="160"/>
      <c r="AA5" s="160"/>
      <c r="AB5" s="160"/>
      <c r="AC5" s="160"/>
    </row>
    <row r="6" spans="1:30" s="6" customFormat="1" ht="30" customHeight="1" x14ac:dyDescent="0.2">
      <c r="A6" s="280" t="s">
        <v>171</v>
      </c>
      <c r="B6" s="280"/>
      <c r="C6" s="280"/>
      <c r="D6" s="280"/>
      <c r="E6" s="280"/>
      <c r="F6" s="280"/>
      <c r="G6" s="280"/>
      <c r="H6" s="280"/>
      <c r="I6" s="280"/>
      <c r="J6" s="280"/>
      <c r="K6" s="72"/>
      <c r="L6" s="149"/>
      <c r="M6" s="160"/>
      <c r="N6" s="160"/>
      <c r="O6" s="160"/>
      <c r="P6" s="160"/>
      <c r="Q6" s="160"/>
      <c r="R6" s="160"/>
      <c r="S6" s="160"/>
      <c r="T6" s="160"/>
      <c r="U6" s="160"/>
      <c r="V6" s="160"/>
      <c r="W6" s="160"/>
      <c r="X6" s="160"/>
      <c r="Y6" s="160"/>
      <c r="Z6" s="160"/>
      <c r="AA6" s="160"/>
      <c r="AB6" s="160"/>
      <c r="AC6" s="160"/>
    </row>
    <row r="7" spans="1:30" s="6" customFormat="1" ht="15" customHeight="1" x14ac:dyDescent="0.2">
      <c r="A7" s="72"/>
      <c r="B7" s="72"/>
      <c r="C7" s="72"/>
      <c r="D7" s="72"/>
      <c r="E7" s="72"/>
      <c r="F7" s="72"/>
      <c r="G7" s="72"/>
      <c r="H7" s="72"/>
      <c r="I7" s="72"/>
      <c r="J7" s="72"/>
      <c r="K7" s="72"/>
      <c r="L7" s="149"/>
      <c r="M7" s="160"/>
      <c r="N7" s="160"/>
      <c r="O7" s="160"/>
      <c r="P7" s="160"/>
      <c r="Q7" s="160"/>
      <c r="R7" s="160"/>
      <c r="S7" s="160"/>
      <c r="T7" s="160"/>
      <c r="U7" s="160"/>
      <c r="V7" s="160"/>
      <c r="W7" s="160"/>
      <c r="X7" s="160"/>
      <c r="Y7" s="160"/>
      <c r="Z7" s="160"/>
      <c r="AA7" s="160"/>
      <c r="AB7" s="160"/>
      <c r="AC7" s="160"/>
    </row>
    <row r="8" spans="1:30" s="6" customFormat="1" ht="15" customHeight="1" x14ac:dyDescent="0.2">
      <c r="A8" s="72"/>
      <c r="B8" s="72"/>
      <c r="C8" s="72"/>
      <c r="D8" s="72"/>
      <c r="E8" s="277" t="str">
        <f>SINTÉTICA!$E$8</f>
        <v>LEIS SOCIAIS DESONERADAS - REFERÊNCIA HORISTA SINAPI: LS</v>
      </c>
      <c r="F8" s="277"/>
      <c r="G8" s="277"/>
      <c r="H8" s="277"/>
      <c r="I8" s="277"/>
      <c r="J8" s="82">
        <f>SINTÉTICA!$J$8</f>
        <v>1.1900999999999999</v>
      </c>
      <c r="K8" s="72"/>
      <c r="L8" s="149"/>
      <c r="M8" s="160"/>
      <c r="N8" s="160"/>
      <c r="O8" s="160"/>
      <c r="P8" s="160"/>
      <c r="Q8" s="160"/>
      <c r="R8" s="160"/>
      <c r="S8" s="160"/>
      <c r="T8" s="160"/>
      <c r="U8" s="160"/>
      <c r="V8" s="160"/>
      <c r="W8" s="160"/>
      <c r="X8" s="160"/>
      <c r="Y8" s="160"/>
      <c r="Z8" s="160"/>
      <c r="AA8" s="160"/>
      <c r="AB8" s="160"/>
      <c r="AC8" s="160"/>
    </row>
    <row r="9" spans="1:30" s="6" customFormat="1" ht="15" customHeight="1" x14ac:dyDescent="0.2">
      <c r="A9" s="72"/>
      <c r="B9" s="72"/>
      <c r="C9" s="72"/>
      <c r="D9" s="72"/>
      <c r="E9" s="277" t="str">
        <f>SINTÉTICA!$E$9</f>
        <v>BENEFÍCIOS E DESPESAS INDIRETAS: BDI</v>
      </c>
      <c r="F9" s="277"/>
      <c r="G9" s="277"/>
      <c r="H9" s="277"/>
      <c r="I9" s="277"/>
      <c r="J9" s="83">
        <f>BDI!D23</f>
        <v>0.22226164190779008</v>
      </c>
      <c r="K9" s="72"/>
      <c r="L9" s="149"/>
      <c r="M9" s="160"/>
      <c r="N9" s="160"/>
      <c r="O9" s="160"/>
      <c r="P9" s="160"/>
      <c r="Q9" s="160"/>
      <c r="R9" s="160"/>
      <c r="S9" s="160"/>
      <c r="T9" s="160"/>
      <c r="U9" s="160"/>
      <c r="V9" s="160"/>
      <c r="W9" s="160"/>
      <c r="X9" s="160"/>
      <c r="Y9" s="160"/>
      <c r="Z9" s="160"/>
      <c r="AA9" s="160"/>
      <c r="AB9" s="160"/>
      <c r="AC9" s="160"/>
    </row>
    <row r="10" spans="1:30" s="229" customFormat="1" ht="15" customHeight="1" x14ac:dyDescent="0.2">
      <c r="A10" s="72"/>
      <c r="B10" s="72"/>
      <c r="C10" s="72"/>
      <c r="D10" s="72"/>
      <c r="E10" s="277" t="str">
        <f>SINTÉTICA!$E$10</f>
        <v>BENEFÍCIOS E DESPESAS INDIRETAS: BDI (EQUIPAMENTOS)</v>
      </c>
      <c r="F10" s="277"/>
      <c r="G10" s="277"/>
      <c r="H10" s="277"/>
      <c r="I10" s="277"/>
      <c r="J10" s="83">
        <f>BDI!D37</f>
        <v>0.13241242289348176</v>
      </c>
      <c r="K10" s="72"/>
      <c r="L10" s="248"/>
      <c r="M10" s="160"/>
      <c r="N10" s="160"/>
      <c r="O10" s="160"/>
      <c r="P10" s="160"/>
      <c r="Q10" s="160"/>
      <c r="R10" s="160"/>
      <c r="S10" s="160"/>
      <c r="T10" s="160"/>
      <c r="U10" s="160"/>
      <c r="V10" s="160"/>
      <c r="W10" s="160"/>
      <c r="X10" s="160"/>
      <c r="Y10" s="160"/>
      <c r="Z10" s="160"/>
      <c r="AA10" s="160"/>
      <c r="AB10" s="160"/>
      <c r="AC10" s="160"/>
    </row>
    <row r="11" spans="1:30" s="6" customFormat="1" ht="15" customHeight="1" x14ac:dyDescent="0.2">
      <c r="A11" s="72"/>
      <c r="B11" s="72"/>
      <c r="C11" s="72"/>
      <c r="D11" s="72"/>
      <c r="E11" s="277" t="str">
        <f>SINTÉTICA!$E$11</f>
        <v>REFERÊNCIA: SINAPI - PA - OUTUBRO/19 (NÃO DESONERADA)</v>
      </c>
      <c r="F11" s="277"/>
      <c r="G11" s="277"/>
      <c r="H11" s="277"/>
      <c r="I11" s="277"/>
      <c r="J11" s="81"/>
      <c r="K11" s="72"/>
      <c r="L11" s="161"/>
      <c r="M11" s="162"/>
      <c r="N11" s="162"/>
      <c r="O11" s="162"/>
      <c r="P11" s="162"/>
      <c r="Q11" s="162"/>
      <c r="R11" s="162"/>
      <c r="S11" s="162"/>
      <c r="T11" s="162"/>
      <c r="U11" s="162"/>
      <c r="V11" s="162"/>
      <c r="W11" s="162"/>
      <c r="X11" s="162"/>
      <c r="Y11" s="162"/>
      <c r="Z11" s="162"/>
      <c r="AA11" s="162"/>
      <c r="AB11" s="162"/>
      <c r="AC11" s="162"/>
      <c r="AD11" s="86"/>
    </row>
    <row r="12" spans="1:30" s="6" customFormat="1" ht="15" customHeight="1" x14ac:dyDescent="0.2">
      <c r="A12" s="296"/>
      <c r="B12" s="296"/>
      <c r="C12" s="296"/>
      <c r="D12" s="296"/>
      <c r="E12" s="296"/>
      <c r="F12" s="296"/>
      <c r="G12" s="296"/>
      <c r="H12" s="296"/>
      <c r="I12" s="296"/>
      <c r="J12" s="296"/>
      <c r="K12" s="72"/>
      <c r="L12" s="161"/>
      <c r="M12" s="161"/>
      <c r="N12" s="161"/>
      <c r="O12" s="161"/>
      <c r="P12" s="161"/>
      <c r="Q12" s="161"/>
      <c r="R12" s="161"/>
      <c r="S12" s="161"/>
      <c r="T12" s="161">
        <v>20</v>
      </c>
      <c r="U12" s="161">
        <v>21</v>
      </c>
      <c r="V12" s="161">
        <v>22</v>
      </c>
      <c r="W12" s="161">
        <v>23</v>
      </c>
      <c r="X12" s="161">
        <v>24</v>
      </c>
      <c r="Y12" s="161">
        <v>25</v>
      </c>
      <c r="Z12" s="161">
        <v>26</v>
      </c>
      <c r="AA12" s="161">
        <v>27</v>
      </c>
      <c r="AB12" s="161">
        <v>28</v>
      </c>
      <c r="AC12" s="161">
        <v>29</v>
      </c>
      <c r="AD12" s="86"/>
    </row>
    <row r="13" spans="1:30" s="6" customFormat="1" ht="30" customHeight="1" x14ac:dyDescent="0.2">
      <c r="A13" s="84" t="s">
        <v>145</v>
      </c>
      <c r="B13" s="84" t="s">
        <v>156</v>
      </c>
      <c r="C13" s="84" t="s">
        <v>157</v>
      </c>
      <c r="D13" s="84" t="s">
        <v>146</v>
      </c>
      <c r="E13" s="289" t="s">
        <v>172</v>
      </c>
      <c r="F13" s="289"/>
      <c r="G13" s="84" t="s">
        <v>158</v>
      </c>
      <c r="H13" s="84" t="s">
        <v>159</v>
      </c>
      <c r="I13" s="84" t="s">
        <v>160</v>
      </c>
      <c r="J13" s="84" t="s">
        <v>153</v>
      </c>
      <c r="K13" s="72"/>
      <c r="L13" s="163" t="s">
        <v>83</v>
      </c>
      <c r="M13" s="164" t="s">
        <v>82</v>
      </c>
      <c r="N13" s="164" t="s">
        <v>80</v>
      </c>
      <c r="O13" s="164" t="s">
        <v>81</v>
      </c>
      <c r="P13" s="165" t="s">
        <v>84</v>
      </c>
      <c r="Q13" s="164" t="s">
        <v>85</v>
      </c>
      <c r="R13" s="166" t="s">
        <v>86</v>
      </c>
      <c r="S13" s="162"/>
      <c r="T13" s="167"/>
      <c r="U13" s="168" t="s">
        <v>1</v>
      </c>
      <c r="V13" s="168" t="s">
        <v>2</v>
      </c>
      <c r="W13" s="168" t="s">
        <v>3</v>
      </c>
      <c r="X13" s="290" t="s">
        <v>17</v>
      </c>
      <c r="Y13" s="290"/>
      <c r="Z13" s="168" t="s">
        <v>4</v>
      </c>
      <c r="AA13" s="168" t="s">
        <v>5</v>
      </c>
      <c r="AB13" s="168"/>
      <c r="AC13" s="169"/>
      <c r="AD13" s="86"/>
    </row>
    <row r="14" spans="1:30" s="6" customFormat="1" x14ac:dyDescent="0.2">
      <c r="A14" s="297"/>
      <c r="B14" s="297"/>
      <c r="C14" s="297"/>
      <c r="D14" s="297"/>
      <c r="E14" s="297"/>
      <c r="F14" s="297"/>
      <c r="G14" s="297"/>
      <c r="H14" s="297"/>
      <c r="I14" s="297"/>
      <c r="J14" s="297"/>
      <c r="K14" s="72"/>
      <c r="L14" s="161">
        <v>1</v>
      </c>
      <c r="M14" s="162"/>
      <c r="N14" s="162"/>
      <c r="O14" s="162"/>
      <c r="P14" s="162"/>
      <c r="Q14" s="162"/>
      <c r="R14" s="162"/>
      <c r="S14" s="162"/>
      <c r="T14" s="122" t="s">
        <v>18</v>
      </c>
      <c r="U14" s="108">
        <v>88239</v>
      </c>
      <c r="V14" s="107" t="s">
        <v>8</v>
      </c>
      <c r="W14" s="107" t="s">
        <v>47</v>
      </c>
      <c r="X14" s="291" t="s">
        <v>26</v>
      </c>
      <c r="Y14" s="291"/>
      <c r="Z14" s="109" t="s">
        <v>27</v>
      </c>
      <c r="AA14" s="110">
        <v>1</v>
      </c>
      <c r="AB14" s="111">
        <f>SUMIF(AE:AE,$L14,AF:AF)</f>
        <v>0</v>
      </c>
      <c r="AC14" s="123">
        <f>TRUNC(AA14*AB14,2)</f>
        <v>0</v>
      </c>
      <c r="AD14" s="86"/>
    </row>
    <row r="15" spans="1:30" s="6" customFormat="1" x14ac:dyDescent="0.2">
      <c r="A15" s="249" t="s">
        <v>413</v>
      </c>
      <c r="B15" s="249"/>
      <c r="C15" s="249"/>
      <c r="D15" s="249" t="s">
        <v>277</v>
      </c>
      <c r="E15" s="249"/>
      <c r="F15" s="286"/>
      <c r="G15" s="286"/>
      <c r="H15" s="204"/>
      <c r="I15" s="249"/>
      <c r="J15" s="205"/>
      <c r="K15" s="79"/>
      <c r="L15" s="161">
        <f t="shared" ref="L15:L78" si="0">IF(AND(A16&lt;&gt;"",A15=""),L14+1,L14)</f>
        <v>1</v>
      </c>
      <c r="M15" s="170" t="str">
        <f t="shared" ref="M15:M78" si="1">IF(OR(A15="Insumo",A15="Composição Auxiliar"),J15,"")</f>
        <v/>
      </c>
      <c r="N15" s="171" t="str">
        <f t="shared" ref="N15:N78" si="2">IF(ISNUMBER(SEARCH("COM ENCARGOS COMPLEMENTARES",D15)),J15,"")</f>
        <v/>
      </c>
      <c r="O15" s="171" t="str">
        <f t="shared" ref="O15:O19" si="3">IF(N15&lt;&gt;"","",M15)</f>
        <v/>
      </c>
      <c r="P15" s="172" t="str">
        <f t="shared" ref="P15:P78" si="4">IF(A15="Composição",A14,"")</f>
        <v/>
      </c>
      <c r="Q15" s="171" t="str">
        <f t="shared" ref="Q15:Q19" si="5">IF(P15&lt;&gt;"",SUMIF(L15:L115,L15,N15:N115),"")</f>
        <v/>
      </c>
      <c r="R15" s="171" t="str">
        <f t="shared" ref="R15:R19" si="6">IF(P15&lt;&gt;"",SUMIF(L15:L115,L15,O15:O115),"")</f>
        <v/>
      </c>
      <c r="S15" s="161"/>
      <c r="T15" s="124" t="s">
        <v>20</v>
      </c>
      <c r="U15" s="113">
        <v>95309</v>
      </c>
      <c r="V15" s="112" t="s">
        <v>8</v>
      </c>
      <c r="W15" s="112" t="s">
        <v>73</v>
      </c>
      <c r="X15" s="292" t="s">
        <v>26</v>
      </c>
      <c r="Y15" s="292"/>
      <c r="Z15" s="114" t="s">
        <v>27</v>
      </c>
      <c r="AA15" s="115">
        <v>1</v>
      </c>
      <c r="AB15" s="116">
        <f>SUMIFS('ANALÍTICA AUXILIARES'!AC:AC,'ANALÍTICA AUXILIARES'!T:T,"Composição",'ANALÍTICA AUXILIARES'!U:U,$B15)</f>
        <v>0</v>
      </c>
      <c r="AC15" s="125">
        <f>TRUNC(AA15*AB15,2)</f>
        <v>0</v>
      </c>
      <c r="AD15" s="86"/>
    </row>
    <row r="16" spans="1:30" x14ac:dyDescent="0.2">
      <c r="A16" s="249" t="s">
        <v>414</v>
      </c>
      <c r="B16" s="249"/>
      <c r="C16" s="249"/>
      <c r="D16" s="249" t="s">
        <v>415</v>
      </c>
      <c r="E16" s="249"/>
      <c r="F16" s="286"/>
      <c r="G16" s="286"/>
      <c r="H16" s="204"/>
      <c r="I16" s="249"/>
      <c r="J16" s="205"/>
      <c r="L16" s="161">
        <f t="shared" si="0"/>
        <v>1</v>
      </c>
      <c r="M16" s="170" t="str">
        <f t="shared" si="1"/>
        <v/>
      </c>
      <c r="N16" s="171" t="str">
        <f t="shared" si="2"/>
        <v/>
      </c>
      <c r="O16" s="171" t="str">
        <f t="shared" si="3"/>
        <v/>
      </c>
      <c r="P16" s="172" t="str">
        <f t="shared" si="4"/>
        <v/>
      </c>
      <c r="Q16" s="171" t="str">
        <f t="shared" si="5"/>
        <v/>
      </c>
      <c r="R16" s="171" t="str">
        <f t="shared" si="6"/>
        <v/>
      </c>
      <c r="S16" s="162"/>
      <c r="T16" s="126" t="s">
        <v>30</v>
      </c>
      <c r="U16" s="127" t="s">
        <v>87</v>
      </c>
      <c r="V16" s="183" t="str">
        <f>VLOOKUP(U16,INSUMOS!$A:$I,2,FALSE)</f>
        <v>SINAPI</v>
      </c>
      <c r="W16" s="183" t="str">
        <f>VLOOKUP(U16,INSUMOS!$A:$I,3,FALSE)</f>
        <v>ALIMENTACAO - HORISTA (COLETADO CAIXA)</v>
      </c>
      <c r="X16" s="295" t="str">
        <f>VLOOKUP(U16,INSUMOS!$A:$I,4,FALSE)</f>
        <v>Outros</v>
      </c>
      <c r="Y16" s="295"/>
      <c r="Z16" s="136" t="str">
        <f>VLOOKUP(U16,INSUMOS!$A:$I,5,FALSE)</f>
        <v>H</v>
      </c>
      <c r="AA16" s="128">
        <v>1</v>
      </c>
      <c r="AB16" s="138">
        <f>VLOOKUP(U16,INSUMOS!$A:$I,8,FALSE)</f>
        <v>2.1800000000000002</v>
      </c>
      <c r="AC16" s="129">
        <f>TRUNC(AA16*AB16,2)</f>
        <v>2.1800000000000002</v>
      </c>
      <c r="AD16" s="86"/>
    </row>
    <row r="17" spans="1:30" ht="14.25" customHeight="1" x14ac:dyDescent="0.2">
      <c r="A17" s="245" t="s">
        <v>416</v>
      </c>
      <c r="B17" s="203" t="s">
        <v>1</v>
      </c>
      <c r="C17" s="245" t="s">
        <v>2</v>
      </c>
      <c r="D17" s="245" t="s">
        <v>3</v>
      </c>
      <c r="E17" s="284" t="s">
        <v>17</v>
      </c>
      <c r="F17" s="284"/>
      <c r="G17" s="202" t="s">
        <v>4</v>
      </c>
      <c r="H17" s="203" t="s">
        <v>5</v>
      </c>
      <c r="I17" s="203" t="s">
        <v>6</v>
      </c>
      <c r="J17" s="203" t="s">
        <v>7</v>
      </c>
      <c r="L17" s="161">
        <f t="shared" si="0"/>
        <v>1</v>
      </c>
      <c r="M17" s="170" t="str">
        <f t="shared" si="1"/>
        <v/>
      </c>
      <c r="N17" s="171" t="str">
        <f t="shared" si="2"/>
        <v/>
      </c>
      <c r="O17" s="171" t="str">
        <f t="shared" si="3"/>
        <v/>
      </c>
      <c r="P17" s="172" t="str">
        <f t="shared" si="4"/>
        <v/>
      </c>
      <c r="Q17" s="171" t="str">
        <f t="shared" si="5"/>
        <v/>
      </c>
      <c r="R17" s="171" t="str">
        <f t="shared" si="6"/>
        <v/>
      </c>
      <c r="S17" s="162"/>
      <c r="T17" s="173"/>
      <c r="U17" s="173"/>
      <c r="V17" s="173"/>
      <c r="W17" s="173"/>
      <c r="X17" s="294"/>
      <c r="Y17" s="294"/>
      <c r="Z17" s="173"/>
      <c r="AA17" s="173"/>
      <c r="AB17" s="173"/>
      <c r="AC17" s="173"/>
      <c r="AD17" s="86"/>
    </row>
    <row r="18" spans="1:30" ht="14.25" customHeight="1" x14ac:dyDescent="0.2">
      <c r="A18" s="247" t="s">
        <v>18</v>
      </c>
      <c r="B18" s="207" t="s">
        <v>417</v>
      </c>
      <c r="C18" s="247" t="s">
        <v>8</v>
      </c>
      <c r="D18" s="247" t="s">
        <v>9</v>
      </c>
      <c r="E18" s="285" t="s">
        <v>19</v>
      </c>
      <c r="F18" s="285"/>
      <c r="G18" s="206" t="s">
        <v>10</v>
      </c>
      <c r="H18" s="209">
        <v>1</v>
      </c>
      <c r="I18" s="208">
        <f>SUMIF(L:L,$L18,M:M)</f>
        <v>481.77000000000004</v>
      </c>
      <c r="J18" s="208">
        <f t="shared" ref="J18:J25" si="7">TRUNC(H18*I18,2)</f>
        <v>481.77</v>
      </c>
      <c r="L18" s="161">
        <f t="shared" si="0"/>
        <v>1</v>
      </c>
      <c r="M18" s="170" t="str">
        <f t="shared" si="1"/>
        <v/>
      </c>
      <c r="N18" s="171" t="str">
        <f t="shared" si="2"/>
        <v/>
      </c>
      <c r="O18" s="171" t="str">
        <f t="shared" si="3"/>
        <v/>
      </c>
      <c r="P18" s="172" t="str">
        <f t="shared" si="4"/>
        <v xml:space="preserve"> 01.01.01 </v>
      </c>
      <c r="Q18" s="171">
        <f>IF(P18&lt;&gt;"",SUMIF(L18:L118,L18,N18:N118),"")</f>
        <v>52.22</v>
      </c>
      <c r="R18" s="171">
        <f>IF(P18&lt;&gt;"",SUMIF(L18:L118,L18,O18:O118),"")</f>
        <v>429.55</v>
      </c>
      <c r="S18" s="162"/>
      <c r="T18" s="174"/>
      <c r="U18" s="298" t="s">
        <v>39</v>
      </c>
      <c r="V18" s="298"/>
      <c r="W18" s="175">
        <f>TRUNC(SUMIF(Y:Y,$L18,Z:Z)*(1+$J$9),2)</f>
        <v>0</v>
      </c>
      <c r="X18" s="291"/>
      <c r="Y18" s="291"/>
      <c r="Z18" s="109"/>
      <c r="AA18" s="110"/>
      <c r="AB18" s="111"/>
      <c r="AC18" s="111"/>
      <c r="AD18" s="86"/>
    </row>
    <row r="19" spans="1:30" ht="38.25" x14ac:dyDescent="0.2">
      <c r="A19" s="244" t="s">
        <v>20</v>
      </c>
      <c r="B19" s="212" t="s">
        <v>21</v>
      </c>
      <c r="C19" s="244" t="s">
        <v>8</v>
      </c>
      <c r="D19" s="244" t="s">
        <v>22</v>
      </c>
      <c r="E19" s="283" t="s">
        <v>23</v>
      </c>
      <c r="F19" s="283"/>
      <c r="G19" s="211" t="s">
        <v>15</v>
      </c>
      <c r="H19" s="214">
        <v>0.01</v>
      </c>
      <c r="I19" s="213">
        <f>SUMIFS('ANALÍTICA AUXILIARES'!J:J,'ANALÍTICA AUXILIARES'!A:A,"Composição",'ANALÍTICA AUXILIARES'!B:B,$B19)</f>
        <v>295.60000000000002</v>
      </c>
      <c r="J19" s="213">
        <f t="shared" si="7"/>
        <v>2.95</v>
      </c>
      <c r="L19" s="161">
        <f t="shared" si="0"/>
        <v>1</v>
      </c>
      <c r="M19" s="170">
        <f>IF(OR(A19="Insumo",A19="Composição Auxiliar"),J19,"")</f>
        <v>2.95</v>
      </c>
      <c r="N19" s="171" t="str">
        <f t="shared" si="2"/>
        <v/>
      </c>
      <c r="O19" s="171">
        <f t="shared" si="3"/>
        <v>2.95</v>
      </c>
      <c r="P19" s="172" t="str">
        <f t="shared" si="4"/>
        <v/>
      </c>
      <c r="Q19" s="171" t="str">
        <f t="shared" si="5"/>
        <v/>
      </c>
      <c r="R19" s="171" t="str">
        <f t="shared" si="6"/>
        <v/>
      </c>
      <c r="S19" s="162"/>
      <c r="T19" s="176" t="s">
        <v>40</v>
      </c>
      <c r="U19" s="177">
        <v>1.6</v>
      </c>
      <c r="V19" s="178" t="s">
        <v>41</v>
      </c>
      <c r="W19" s="179">
        <f>TRUNC(W18*U19,2)</f>
        <v>0</v>
      </c>
      <c r="X19" s="292"/>
      <c r="Y19" s="292"/>
      <c r="Z19" s="114"/>
      <c r="AA19" s="115"/>
      <c r="AB19" s="116"/>
      <c r="AC19" s="116"/>
      <c r="AD19" s="86"/>
    </row>
    <row r="20" spans="1:30" ht="25.5" x14ac:dyDescent="0.2">
      <c r="A20" s="244" t="s">
        <v>20</v>
      </c>
      <c r="B20" s="212" t="s">
        <v>24</v>
      </c>
      <c r="C20" s="244" t="s">
        <v>8</v>
      </c>
      <c r="D20" s="244" t="s">
        <v>25</v>
      </c>
      <c r="E20" s="283" t="s">
        <v>26</v>
      </c>
      <c r="F20" s="283"/>
      <c r="G20" s="211" t="s">
        <v>27</v>
      </c>
      <c r="H20" s="214">
        <v>1</v>
      </c>
      <c r="I20" s="213">
        <f>SUMIFS('ANALÍTICA AUXILIARES'!J:J,'ANALÍTICA AUXILIARES'!A:A,"Composição",'ANALÍTICA AUXILIARES'!B:B,$B20)</f>
        <v>20.18</v>
      </c>
      <c r="J20" s="213">
        <f t="shared" si="7"/>
        <v>20.18</v>
      </c>
      <c r="L20" s="161">
        <f t="shared" si="0"/>
        <v>1</v>
      </c>
      <c r="M20" s="170">
        <f t="shared" si="1"/>
        <v>20.18</v>
      </c>
      <c r="N20" s="171">
        <f t="shared" si="2"/>
        <v>20.18</v>
      </c>
      <c r="O20" s="171" t="str">
        <f t="shared" ref="O20" si="8">IF(N20&lt;&gt;"","",M20)</f>
        <v/>
      </c>
      <c r="P20" s="172" t="str">
        <f t="shared" si="4"/>
        <v/>
      </c>
      <c r="Q20" s="171" t="str">
        <f t="shared" ref="Q20" si="9">IF(P20&lt;&gt;"",SUMIF(L20:L120,L20,N20:N120),"")</f>
        <v/>
      </c>
      <c r="R20" s="171" t="str">
        <f t="shared" ref="R20" si="10">IF(P20&lt;&gt;"",SUMIF(L20:L120,L20,O20:O120),"")</f>
        <v/>
      </c>
      <c r="S20" s="162"/>
      <c r="T20" s="117"/>
      <c r="U20" s="118"/>
      <c r="V20" s="117"/>
      <c r="W20" s="117"/>
      <c r="X20" s="287"/>
      <c r="Y20" s="287"/>
      <c r="Z20" s="119"/>
      <c r="AA20" s="120"/>
      <c r="AB20" s="121"/>
      <c r="AC20" s="121"/>
      <c r="AD20" s="86"/>
    </row>
    <row r="21" spans="1:30" ht="25.5" x14ac:dyDescent="0.2">
      <c r="A21" s="244" t="s">
        <v>20</v>
      </c>
      <c r="B21" s="212" t="s">
        <v>28</v>
      </c>
      <c r="C21" s="244" t="s">
        <v>8</v>
      </c>
      <c r="D21" s="244" t="s">
        <v>29</v>
      </c>
      <c r="E21" s="283" t="s">
        <v>26</v>
      </c>
      <c r="F21" s="283"/>
      <c r="G21" s="211" t="s">
        <v>27</v>
      </c>
      <c r="H21" s="214">
        <v>2</v>
      </c>
      <c r="I21" s="213">
        <f>SUMIFS('ANALÍTICA AUXILIARES'!J:J,'ANALÍTICA AUXILIARES'!A:A,"Composição",'ANALÍTICA AUXILIARES'!B:B,$B21)</f>
        <v>16.02</v>
      </c>
      <c r="J21" s="213">
        <f t="shared" si="7"/>
        <v>32.04</v>
      </c>
      <c r="L21" s="161">
        <f t="shared" si="0"/>
        <v>1</v>
      </c>
      <c r="M21" s="170">
        <f t="shared" si="1"/>
        <v>32.04</v>
      </c>
      <c r="N21" s="171">
        <f t="shared" si="2"/>
        <v>32.04</v>
      </c>
      <c r="O21" s="171" t="str">
        <f t="shared" ref="O21:O36" si="11">IF(N21&lt;&gt;"","",M21)</f>
        <v/>
      </c>
      <c r="P21" s="172" t="str">
        <f t="shared" si="4"/>
        <v/>
      </c>
      <c r="Q21" s="171" t="str">
        <f t="shared" ref="Q21:Q36" si="12">IF(P21&lt;&gt;"",SUMIF(L21:L121,L21,N21:N121),"")</f>
        <v/>
      </c>
      <c r="R21" s="171" t="str">
        <f t="shared" ref="R21:R36" si="13">IF(P21&lt;&gt;"",SUMIF(L21:L121,L21,O21:O121),"")</f>
        <v/>
      </c>
      <c r="S21" s="162"/>
      <c r="T21" s="162"/>
      <c r="U21" s="162"/>
      <c r="V21" s="162"/>
      <c r="W21" s="162"/>
      <c r="AA21" s="162"/>
      <c r="AB21" s="162"/>
      <c r="AC21" s="162"/>
      <c r="AD21" s="86"/>
    </row>
    <row r="22" spans="1:30" ht="25.5" x14ac:dyDescent="0.2">
      <c r="A22" s="243" t="s">
        <v>30</v>
      </c>
      <c r="B22" s="216" t="s">
        <v>31</v>
      </c>
      <c r="C22" s="243" t="str">
        <f>VLOOKUP(B22,INSUMOS!$A:$I,2,FALSE)</f>
        <v>SINAPI</v>
      </c>
      <c r="D22" s="243" t="str">
        <f>VLOOKUP(B22,INSUMOS!$A:$I,3,FALSE)</f>
        <v>PLACA DE OBRA (PARA CONSTRUCAO CIVIL) EM CHAPA GALVANIZADA *N. 22*, ADESIVADA, DE *2,0 X 1,125* M</v>
      </c>
      <c r="E22" s="281" t="str">
        <f>VLOOKUP(B22,INSUMOS!$A:$I,4,FALSE)</f>
        <v>Material</v>
      </c>
      <c r="F22" s="281"/>
      <c r="G22" s="215" t="str">
        <f>VLOOKUP(B22,INSUMOS!$A:$I,5,FALSE)</f>
        <v>m²</v>
      </c>
      <c r="H22" s="218">
        <v>1</v>
      </c>
      <c r="I22" s="217">
        <f>VLOOKUP(B22,INSUMOS!$A:$I,8,FALSE)</f>
        <v>400</v>
      </c>
      <c r="J22" s="217">
        <f t="shared" si="7"/>
        <v>400</v>
      </c>
      <c r="L22" s="149">
        <f t="shared" si="0"/>
        <v>1</v>
      </c>
      <c r="M22" s="156">
        <f t="shared" si="1"/>
        <v>400</v>
      </c>
      <c r="N22" s="157" t="str">
        <f t="shared" si="2"/>
        <v/>
      </c>
      <c r="O22" s="157">
        <f t="shared" si="11"/>
        <v>400</v>
      </c>
      <c r="P22" s="158" t="str">
        <f t="shared" si="4"/>
        <v/>
      </c>
      <c r="Q22" s="157" t="str">
        <f t="shared" si="12"/>
        <v/>
      </c>
      <c r="R22" s="157" t="str">
        <f t="shared" si="13"/>
        <v/>
      </c>
      <c r="U22" s="288"/>
      <c r="V22" s="288"/>
    </row>
    <row r="23" spans="1:30" ht="25.5" x14ac:dyDescent="0.2">
      <c r="A23" s="243" t="s">
        <v>30</v>
      </c>
      <c r="B23" s="216" t="s">
        <v>33</v>
      </c>
      <c r="C23" s="243" t="str">
        <f>VLOOKUP(B23,INSUMOS!$A:$I,2,FALSE)</f>
        <v>SINAPI</v>
      </c>
      <c r="D23" s="243" t="str">
        <f>VLOOKUP(B23,INSUMOS!$A:$I,3,FALSE)</f>
        <v>PONTALETE DE MADEIRA NAO APARELHADA *7,5 X 7,5* CM (3 X 3 ") PINUS, MISTA OU EQUIVALENTE DA REGIAO</v>
      </c>
      <c r="E23" s="281" t="str">
        <f>VLOOKUP(B23,INSUMOS!$A:$I,4,FALSE)</f>
        <v>Material</v>
      </c>
      <c r="F23" s="281"/>
      <c r="G23" s="215" t="str">
        <f>VLOOKUP(B23,INSUMOS!$A:$I,5,FALSE)</f>
        <v>M</v>
      </c>
      <c r="H23" s="218">
        <v>4</v>
      </c>
      <c r="I23" s="217">
        <f>VLOOKUP(B23,INSUMOS!$A:$I,8,FALSE)</f>
        <v>5.23</v>
      </c>
      <c r="J23" s="217">
        <f t="shared" si="7"/>
        <v>20.92</v>
      </c>
      <c r="L23" s="149">
        <f t="shared" si="0"/>
        <v>1</v>
      </c>
      <c r="M23" s="156">
        <f t="shared" si="1"/>
        <v>20.92</v>
      </c>
      <c r="N23" s="157" t="str">
        <f t="shared" si="2"/>
        <v/>
      </c>
      <c r="O23" s="157">
        <f t="shared" si="11"/>
        <v>20.92</v>
      </c>
      <c r="P23" s="158" t="str">
        <f t="shared" si="4"/>
        <v/>
      </c>
      <c r="Q23" s="157" t="str">
        <f t="shared" si="12"/>
        <v/>
      </c>
      <c r="R23" s="157" t="str">
        <f t="shared" si="13"/>
        <v/>
      </c>
      <c r="U23" s="180"/>
    </row>
    <row r="24" spans="1:30" x14ac:dyDescent="0.2">
      <c r="A24" s="243" t="s">
        <v>30</v>
      </c>
      <c r="B24" s="216" t="s">
        <v>34</v>
      </c>
      <c r="C24" s="243" t="str">
        <f>VLOOKUP(B24,INSUMOS!$A:$I,2,FALSE)</f>
        <v>SINAPI</v>
      </c>
      <c r="D24" s="243" t="str">
        <f>VLOOKUP(B24,INSUMOS!$A:$I,3,FALSE)</f>
        <v>PREGO DE ACO POLIDO COM CABECA 18 X 30 (2 3/4 X 10)</v>
      </c>
      <c r="E24" s="281" t="str">
        <f>VLOOKUP(B24,INSUMOS!$A:$I,4,FALSE)</f>
        <v>Material</v>
      </c>
      <c r="F24" s="281"/>
      <c r="G24" s="215" t="str">
        <f>VLOOKUP(B24,INSUMOS!$A:$I,5,FALSE)</f>
        <v>KG</v>
      </c>
      <c r="H24" s="218">
        <v>0.11</v>
      </c>
      <c r="I24" s="217">
        <f>VLOOKUP(B24,INSUMOS!$A:$I,8,FALSE)</f>
        <v>9.56</v>
      </c>
      <c r="J24" s="217">
        <f t="shared" si="7"/>
        <v>1.05</v>
      </c>
      <c r="L24" s="149">
        <f t="shared" si="0"/>
        <v>1</v>
      </c>
      <c r="M24" s="156">
        <f t="shared" si="1"/>
        <v>1.05</v>
      </c>
      <c r="N24" s="157" t="str">
        <f t="shared" si="2"/>
        <v/>
      </c>
      <c r="O24" s="157">
        <f t="shared" si="11"/>
        <v>1.05</v>
      </c>
      <c r="P24" s="158" t="str">
        <f t="shared" si="4"/>
        <v/>
      </c>
      <c r="Q24" s="157" t="str">
        <f t="shared" si="12"/>
        <v/>
      </c>
      <c r="R24" s="157" t="str">
        <f t="shared" si="13"/>
        <v/>
      </c>
    </row>
    <row r="25" spans="1:30" ht="25.5" x14ac:dyDescent="0.2">
      <c r="A25" s="243" t="s">
        <v>30</v>
      </c>
      <c r="B25" s="216" t="s">
        <v>37</v>
      </c>
      <c r="C25" s="243" t="str">
        <f>VLOOKUP(B25,INSUMOS!$A:$I,2,FALSE)</f>
        <v>SINAPI</v>
      </c>
      <c r="D25" s="243" t="str">
        <f>VLOOKUP(B25,INSUMOS!$A:$I,3,FALSE)</f>
        <v>SARRAFO DE MADEIRA NAO APARELHADA *2,5 X 7* CM, MACARANDUBA, ANGELIM OU EQUIVALENTE DA REGIAO</v>
      </c>
      <c r="E25" s="281" t="str">
        <f>VLOOKUP(B25,INSUMOS!$A:$I,4,FALSE)</f>
        <v>Material</v>
      </c>
      <c r="F25" s="281"/>
      <c r="G25" s="215" t="str">
        <f>VLOOKUP(B25,INSUMOS!$A:$I,5,FALSE)</f>
        <v>M</v>
      </c>
      <c r="H25" s="218">
        <v>1</v>
      </c>
      <c r="I25" s="217">
        <f>VLOOKUP(B25,INSUMOS!$A:$I,8,FALSE)</f>
        <v>4.63</v>
      </c>
      <c r="J25" s="217">
        <f t="shared" si="7"/>
        <v>4.63</v>
      </c>
      <c r="L25" s="149">
        <f t="shared" si="0"/>
        <v>1</v>
      </c>
      <c r="M25" s="156">
        <f t="shared" si="1"/>
        <v>4.63</v>
      </c>
      <c r="N25" s="157" t="str">
        <f t="shared" si="2"/>
        <v/>
      </c>
      <c r="O25" s="157">
        <f t="shared" si="11"/>
        <v>4.63</v>
      </c>
      <c r="P25" s="158" t="str">
        <f t="shared" si="4"/>
        <v/>
      </c>
      <c r="Q25" s="157" t="str">
        <f t="shared" si="12"/>
        <v/>
      </c>
      <c r="R25" s="157" t="str">
        <f t="shared" si="13"/>
        <v/>
      </c>
    </row>
    <row r="26" spans="1:30" ht="14.25" customHeight="1" x14ac:dyDescent="0.2">
      <c r="A26" s="246"/>
      <c r="B26" s="246"/>
      <c r="C26" s="246"/>
      <c r="D26" s="246"/>
      <c r="E26" s="246"/>
      <c r="F26" s="222"/>
      <c r="G26" s="246"/>
      <c r="H26" s="222"/>
      <c r="I26" s="246"/>
      <c r="J26" s="222"/>
      <c r="L26" s="149">
        <f t="shared" si="0"/>
        <v>1</v>
      </c>
      <c r="M26" s="156" t="str">
        <f t="shared" si="1"/>
        <v/>
      </c>
      <c r="N26" s="157" t="str">
        <f t="shared" si="2"/>
        <v/>
      </c>
      <c r="O26" s="157" t="str">
        <f t="shared" si="11"/>
        <v/>
      </c>
      <c r="P26" s="158" t="str">
        <f t="shared" si="4"/>
        <v/>
      </c>
      <c r="Q26" s="157" t="str">
        <f t="shared" si="12"/>
        <v/>
      </c>
      <c r="R26" s="157" t="str">
        <f t="shared" si="13"/>
        <v/>
      </c>
    </row>
    <row r="27" spans="1:30" ht="14.25" customHeight="1" x14ac:dyDescent="0.2">
      <c r="A27" s="246"/>
      <c r="B27" s="246"/>
      <c r="C27" s="246"/>
      <c r="D27" s="246"/>
      <c r="E27" s="246"/>
      <c r="F27" s="222"/>
      <c r="G27" s="246"/>
      <c r="H27" s="282" t="s">
        <v>39</v>
      </c>
      <c r="I27" s="282"/>
      <c r="J27" s="222">
        <f>TRUNC(SUMIF(L:L,$L27,M:M)*(1+$J$9),2)</f>
        <v>588.84</v>
      </c>
      <c r="L27" s="149">
        <f t="shared" si="0"/>
        <v>1</v>
      </c>
      <c r="M27" s="156" t="str">
        <f t="shared" si="1"/>
        <v/>
      </c>
      <c r="N27" s="157" t="str">
        <f t="shared" si="2"/>
        <v/>
      </c>
      <c r="O27" s="157" t="str">
        <f t="shared" si="11"/>
        <v/>
      </c>
      <c r="P27" s="158" t="str">
        <f t="shared" si="4"/>
        <v/>
      </c>
      <c r="Q27" s="157" t="str">
        <f t="shared" si="12"/>
        <v/>
      </c>
      <c r="R27" s="157" t="str">
        <f t="shared" si="13"/>
        <v/>
      </c>
    </row>
    <row r="28" spans="1:30" ht="15" thickBot="1" x14ac:dyDescent="0.25">
      <c r="A28" s="219"/>
      <c r="B28" s="219"/>
      <c r="C28" s="219"/>
      <c r="D28" s="219"/>
      <c r="E28" s="219"/>
      <c r="F28" s="219"/>
      <c r="G28" s="219" t="s">
        <v>40</v>
      </c>
      <c r="H28" s="221">
        <v>1.6</v>
      </c>
      <c r="I28" s="219" t="s">
        <v>41</v>
      </c>
      <c r="J28" s="220">
        <f>TRUNC(J27*H28,2)</f>
        <v>942.14</v>
      </c>
      <c r="L28" s="149">
        <f t="shared" si="0"/>
        <v>1</v>
      </c>
      <c r="M28" s="156" t="str">
        <f t="shared" si="1"/>
        <v/>
      </c>
      <c r="N28" s="157" t="str">
        <f t="shared" si="2"/>
        <v/>
      </c>
      <c r="O28" s="157" t="str">
        <f t="shared" si="11"/>
        <v/>
      </c>
      <c r="P28" s="158" t="str">
        <f t="shared" si="4"/>
        <v/>
      </c>
      <c r="Q28" s="157" t="str">
        <f t="shared" si="12"/>
        <v/>
      </c>
      <c r="R28" s="157" t="str">
        <f t="shared" si="13"/>
        <v/>
      </c>
    </row>
    <row r="29" spans="1:30" ht="15" thickTop="1" x14ac:dyDescent="0.2">
      <c r="A29" s="210"/>
      <c r="B29" s="210"/>
      <c r="C29" s="210"/>
      <c r="D29" s="210"/>
      <c r="E29" s="210"/>
      <c r="F29" s="210"/>
      <c r="G29" s="210"/>
      <c r="H29" s="210"/>
      <c r="I29" s="210"/>
      <c r="J29" s="210"/>
      <c r="L29" s="149">
        <f t="shared" si="0"/>
        <v>2</v>
      </c>
      <c r="M29" s="156" t="str">
        <f t="shared" si="1"/>
        <v/>
      </c>
      <c r="N29" s="157" t="str">
        <f t="shared" si="2"/>
        <v/>
      </c>
      <c r="O29" s="157" t="str">
        <f t="shared" si="11"/>
        <v/>
      </c>
      <c r="P29" s="158" t="str">
        <f t="shared" si="4"/>
        <v/>
      </c>
      <c r="Q29" s="157" t="str">
        <f t="shared" si="12"/>
        <v/>
      </c>
      <c r="R29" s="157" t="str">
        <f t="shared" si="13"/>
        <v/>
      </c>
    </row>
    <row r="30" spans="1:30" ht="14.25" customHeight="1" x14ac:dyDescent="0.2">
      <c r="A30" s="249" t="s">
        <v>418</v>
      </c>
      <c r="B30" s="249"/>
      <c r="C30" s="249"/>
      <c r="D30" s="249" t="s">
        <v>419</v>
      </c>
      <c r="E30" s="249"/>
      <c r="F30" s="286"/>
      <c r="G30" s="286"/>
      <c r="H30" s="204"/>
      <c r="I30" s="249"/>
      <c r="J30" s="205"/>
      <c r="L30" s="149">
        <f t="shared" si="0"/>
        <v>2</v>
      </c>
      <c r="M30" s="156" t="str">
        <f t="shared" si="1"/>
        <v/>
      </c>
      <c r="N30" s="157" t="str">
        <f t="shared" si="2"/>
        <v/>
      </c>
      <c r="O30" s="157" t="str">
        <f t="shared" si="11"/>
        <v/>
      </c>
      <c r="P30" s="158" t="str">
        <f t="shared" si="4"/>
        <v/>
      </c>
      <c r="Q30" s="157" t="str">
        <f t="shared" si="12"/>
        <v/>
      </c>
      <c r="R30" s="157" t="str">
        <f t="shared" si="13"/>
        <v/>
      </c>
    </row>
    <row r="31" spans="1:30" ht="15" x14ac:dyDescent="0.2">
      <c r="A31" s="245" t="s">
        <v>420</v>
      </c>
      <c r="B31" s="203" t="s">
        <v>1</v>
      </c>
      <c r="C31" s="245" t="s">
        <v>2</v>
      </c>
      <c r="D31" s="245" t="s">
        <v>3</v>
      </c>
      <c r="E31" s="284" t="s">
        <v>17</v>
      </c>
      <c r="F31" s="284"/>
      <c r="G31" s="202" t="s">
        <v>4</v>
      </c>
      <c r="H31" s="203" t="s">
        <v>5</v>
      </c>
      <c r="I31" s="203" t="s">
        <v>6</v>
      </c>
      <c r="J31" s="203" t="s">
        <v>7</v>
      </c>
      <c r="L31" s="149">
        <f t="shared" si="0"/>
        <v>2</v>
      </c>
      <c r="M31" s="156" t="str">
        <f t="shared" si="1"/>
        <v/>
      </c>
      <c r="N31" s="157" t="str">
        <f t="shared" si="2"/>
        <v/>
      </c>
      <c r="O31" s="157" t="str">
        <f t="shared" si="11"/>
        <v/>
      </c>
      <c r="P31" s="158" t="str">
        <f t="shared" si="4"/>
        <v/>
      </c>
      <c r="Q31" s="157" t="str">
        <f t="shared" si="12"/>
        <v/>
      </c>
      <c r="R31" s="157" t="str">
        <f t="shared" si="13"/>
        <v/>
      </c>
    </row>
    <row r="32" spans="1:30" ht="51" x14ac:dyDescent="0.2">
      <c r="A32" s="247" t="s">
        <v>18</v>
      </c>
      <c r="B32" s="207" t="s">
        <v>421</v>
      </c>
      <c r="C32" s="247" t="s">
        <v>8</v>
      </c>
      <c r="D32" s="247" t="s">
        <v>422</v>
      </c>
      <c r="E32" s="285" t="s">
        <v>19</v>
      </c>
      <c r="F32" s="285"/>
      <c r="G32" s="206" t="s">
        <v>13</v>
      </c>
      <c r="H32" s="209">
        <v>1</v>
      </c>
      <c r="I32" s="208">
        <f>SUMIF(L:L,$L32,M:M)</f>
        <v>402.34</v>
      </c>
      <c r="J32" s="208">
        <f>TRUNC(H32*I32,2)</f>
        <v>402.34</v>
      </c>
      <c r="L32" s="149">
        <f t="shared" si="0"/>
        <v>2</v>
      </c>
      <c r="M32" s="156" t="str">
        <f t="shared" si="1"/>
        <v/>
      </c>
      <c r="N32" s="157" t="str">
        <f t="shared" si="2"/>
        <v/>
      </c>
      <c r="O32" s="157" t="str">
        <f t="shared" si="11"/>
        <v/>
      </c>
      <c r="P32" s="158" t="str">
        <f t="shared" si="4"/>
        <v xml:space="preserve"> 01.02.01 </v>
      </c>
      <c r="Q32" s="157">
        <f t="shared" si="12"/>
        <v>0</v>
      </c>
      <c r="R32" s="157">
        <f t="shared" si="13"/>
        <v>402.34</v>
      </c>
    </row>
    <row r="33" spans="1:18" ht="14.25" customHeight="1" x14ac:dyDescent="0.2">
      <c r="A33" s="243" t="s">
        <v>30</v>
      </c>
      <c r="B33" s="216" t="s">
        <v>208</v>
      </c>
      <c r="C33" s="243" t="str">
        <f>VLOOKUP(B33,INSUMOS!$A:$I,2,FALSE)</f>
        <v>SINAPI</v>
      </c>
      <c r="D33" s="243" t="str">
        <f>VLOOKUP(B33,INSUMOS!$A:$I,3,FALSE)</f>
        <v>LOCACAO DE CONTAINER 2,30  X  6,00 M, ALT. 2,50 M, PARA ESCRITORIO, SEM DIVISORIAS INTERNAS E SEM SANITARIO</v>
      </c>
      <c r="E33" s="281" t="str">
        <f>VLOOKUP(B33,INSUMOS!$A:$I,4,FALSE)</f>
        <v>Equipamento</v>
      </c>
      <c r="F33" s="281"/>
      <c r="G33" s="215" t="str">
        <f>VLOOKUP(B33,INSUMOS!$A:$I,5,FALSE)</f>
        <v>MES</v>
      </c>
      <c r="H33" s="218">
        <v>1</v>
      </c>
      <c r="I33" s="217">
        <f>VLOOKUP(B33,INSUMOS!$A:$I,8,FALSE)</f>
        <v>402.34</v>
      </c>
      <c r="J33" s="217">
        <f>TRUNC(H33*I33,2)</f>
        <v>402.34</v>
      </c>
      <c r="L33" s="149">
        <f t="shared" si="0"/>
        <v>2</v>
      </c>
      <c r="M33" s="156">
        <f t="shared" si="1"/>
        <v>402.34</v>
      </c>
      <c r="N33" s="157" t="str">
        <f t="shared" si="2"/>
        <v/>
      </c>
      <c r="O33" s="157">
        <f t="shared" si="11"/>
        <v>402.34</v>
      </c>
      <c r="P33" s="158" t="str">
        <f t="shared" si="4"/>
        <v/>
      </c>
      <c r="Q33" s="157" t="str">
        <f t="shared" si="12"/>
        <v/>
      </c>
      <c r="R33" s="157" t="str">
        <f t="shared" si="13"/>
        <v/>
      </c>
    </row>
    <row r="34" spans="1:18" x14ac:dyDescent="0.2">
      <c r="A34" s="246"/>
      <c r="B34" s="246"/>
      <c r="C34" s="246"/>
      <c r="D34" s="246"/>
      <c r="E34" s="246"/>
      <c r="F34" s="222"/>
      <c r="G34" s="246"/>
      <c r="H34" s="222"/>
      <c r="I34" s="246"/>
      <c r="J34" s="222"/>
      <c r="L34" s="149">
        <f t="shared" si="0"/>
        <v>2</v>
      </c>
      <c r="M34" s="156" t="str">
        <f t="shared" si="1"/>
        <v/>
      </c>
      <c r="N34" s="157" t="str">
        <f t="shared" si="2"/>
        <v/>
      </c>
      <c r="O34" s="157" t="str">
        <f t="shared" si="11"/>
        <v/>
      </c>
      <c r="P34" s="158" t="str">
        <f t="shared" si="4"/>
        <v/>
      </c>
      <c r="Q34" s="157" t="str">
        <f t="shared" si="12"/>
        <v/>
      </c>
      <c r="R34" s="157" t="str">
        <f t="shared" si="13"/>
        <v/>
      </c>
    </row>
    <row r="35" spans="1:18" ht="38.25" customHeight="1" x14ac:dyDescent="0.2">
      <c r="A35" s="246"/>
      <c r="B35" s="246"/>
      <c r="C35" s="246"/>
      <c r="D35" s="246"/>
      <c r="E35" s="246"/>
      <c r="F35" s="222"/>
      <c r="G35" s="246"/>
      <c r="H35" s="282" t="s">
        <v>39</v>
      </c>
      <c r="I35" s="282"/>
      <c r="J35" s="222">
        <f>TRUNC(SUMIF(L:L,$L35,M:M)*(1+$J$9),2)</f>
        <v>491.76</v>
      </c>
      <c r="L35" s="149">
        <f t="shared" si="0"/>
        <v>2</v>
      </c>
      <c r="M35" s="156" t="str">
        <f t="shared" si="1"/>
        <v/>
      </c>
      <c r="N35" s="157" t="str">
        <f t="shared" si="2"/>
        <v/>
      </c>
      <c r="O35" s="157" t="str">
        <f t="shared" si="11"/>
        <v/>
      </c>
      <c r="P35" s="158" t="str">
        <f t="shared" si="4"/>
        <v/>
      </c>
      <c r="Q35" s="157" t="str">
        <f t="shared" si="12"/>
        <v/>
      </c>
      <c r="R35" s="157" t="str">
        <f t="shared" si="13"/>
        <v/>
      </c>
    </row>
    <row r="36" spans="1:18" ht="15" thickBot="1" x14ac:dyDescent="0.25">
      <c r="A36" s="219"/>
      <c r="B36" s="219"/>
      <c r="C36" s="219"/>
      <c r="D36" s="219"/>
      <c r="E36" s="219"/>
      <c r="F36" s="219"/>
      <c r="G36" s="219" t="s">
        <v>40</v>
      </c>
      <c r="H36" s="221">
        <v>2</v>
      </c>
      <c r="I36" s="219" t="s">
        <v>41</v>
      </c>
      <c r="J36" s="220">
        <f>TRUNC(J35*H36,2)</f>
        <v>983.52</v>
      </c>
      <c r="L36" s="149">
        <f t="shared" si="0"/>
        <v>2</v>
      </c>
      <c r="M36" s="156" t="str">
        <f t="shared" si="1"/>
        <v/>
      </c>
      <c r="N36" s="157" t="str">
        <f t="shared" si="2"/>
        <v/>
      </c>
      <c r="O36" s="157" t="str">
        <f t="shared" si="11"/>
        <v/>
      </c>
      <c r="P36" s="158" t="str">
        <f t="shared" si="4"/>
        <v/>
      </c>
      <c r="Q36" s="157" t="str">
        <f t="shared" si="12"/>
        <v/>
      </c>
      <c r="R36" s="157" t="str">
        <f t="shared" si="13"/>
        <v/>
      </c>
    </row>
    <row r="37" spans="1:18" ht="15" thickTop="1" x14ac:dyDescent="0.2">
      <c r="A37" s="210"/>
      <c r="B37" s="210"/>
      <c r="C37" s="210"/>
      <c r="D37" s="210"/>
      <c r="E37" s="210"/>
      <c r="F37" s="210"/>
      <c r="G37" s="210"/>
      <c r="H37" s="210"/>
      <c r="I37" s="210"/>
      <c r="J37" s="210"/>
      <c r="L37" s="149">
        <f t="shared" si="0"/>
        <v>3</v>
      </c>
      <c r="M37" s="156" t="str">
        <f t="shared" si="1"/>
        <v/>
      </c>
      <c r="N37" s="157" t="str">
        <f t="shared" si="2"/>
        <v/>
      </c>
      <c r="O37" s="157" t="str">
        <f t="shared" ref="O37:O100" si="14">IF(N37&lt;&gt;"","",M37)</f>
        <v/>
      </c>
      <c r="P37" s="158" t="str">
        <f t="shared" si="4"/>
        <v/>
      </c>
      <c r="Q37" s="157" t="str">
        <f t="shared" ref="Q37:Q100" si="15">IF(P37&lt;&gt;"",SUMIF(L37:L137,L37,N37:N137),"")</f>
        <v/>
      </c>
      <c r="R37" s="157" t="str">
        <f t="shared" ref="R37:R100" si="16">IF(P37&lt;&gt;"",SUMIF(L37:L137,L37,O37:O137),"")</f>
        <v/>
      </c>
    </row>
    <row r="38" spans="1:18" ht="15" x14ac:dyDescent="0.2">
      <c r="A38" s="245" t="s">
        <v>423</v>
      </c>
      <c r="B38" s="203" t="s">
        <v>1</v>
      </c>
      <c r="C38" s="245" t="s">
        <v>2</v>
      </c>
      <c r="D38" s="245" t="s">
        <v>3</v>
      </c>
      <c r="E38" s="284" t="s">
        <v>17</v>
      </c>
      <c r="F38" s="284"/>
      <c r="G38" s="202" t="s">
        <v>4</v>
      </c>
      <c r="H38" s="203" t="s">
        <v>5</v>
      </c>
      <c r="I38" s="203" t="s">
        <v>6</v>
      </c>
      <c r="J38" s="203" t="s">
        <v>7</v>
      </c>
      <c r="L38" s="149">
        <f t="shared" si="0"/>
        <v>3</v>
      </c>
      <c r="M38" s="156" t="str">
        <f t="shared" si="1"/>
        <v/>
      </c>
      <c r="N38" s="157" t="str">
        <f t="shared" si="2"/>
        <v/>
      </c>
      <c r="O38" s="157" t="str">
        <f t="shared" si="14"/>
        <v/>
      </c>
      <c r="P38" s="158" t="str">
        <f t="shared" si="4"/>
        <v/>
      </c>
      <c r="Q38" s="157" t="str">
        <f t="shared" si="15"/>
        <v/>
      </c>
      <c r="R38" s="157" t="str">
        <f t="shared" si="16"/>
        <v/>
      </c>
    </row>
    <row r="39" spans="1:18" ht="51" x14ac:dyDescent="0.2">
      <c r="A39" s="247" t="s">
        <v>18</v>
      </c>
      <c r="B39" s="207" t="s">
        <v>424</v>
      </c>
      <c r="C39" s="247" t="s">
        <v>8</v>
      </c>
      <c r="D39" s="247" t="s">
        <v>425</v>
      </c>
      <c r="E39" s="285" t="s">
        <v>19</v>
      </c>
      <c r="F39" s="285"/>
      <c r="G39" s="206" t="s">
        <v>13</v>
      </c>
      <c r="H39" s="209">
        <v>1</v>
      </c>
      <c r="I39" s="208">
        <f>SUMIF(L:L,$L39,M:M)</f>
        <v>635.71</v>
      </c>
      <c r="J39" s="208">
        <f t="shared" ref="J39:J44" si="17">TRUNC(H39*I39,2)</f>
        <v>635.71</v>
      </c>
      <c r="L39" s="149">
        <f t="shared" si="0"/>
        <v>3</v>
      </c>
      <c r="M39" s="156" t="str">
        <f t="shared" si="1"/>
        <v/>
      </c>
      <c r="N39" s="157" t="str">
        <f t="shared" si="2"/>
        <v/>
      </c>
      <c r="O39" s="157" t="str">
        <f t="shared" si="14"/>
        <v/>
      </c>
      <c r="P39" s="158" t="str">
        <f t="shared" si="4"/>
        <v xml:space="preserve"> 01.02.02 </v>
      </c>
      <c r="Q39" s="157">
        <f t="shared" si="15"/>
        <v>0</v>
      </c>
      <c r="R39" s="157">
        <f t="shared" si="16"/>
        <v>635.71</v>
      </c>
    </row>
    <row r="40" spans="1:18" ht="14.25" customHeight="1" x14ac:dyDescent="0.2">
      <c r="A40" s="243" t="s">
        <v>30</v>
      </c>
      <c r="B40" s="216" t="s">
        <v>377</v>
      </c>
      <c r="C40" s="243" t="str">
        <f>VLOOKUP(B40,INSUMOS!$A:$I,2,FALSE)</f>
        <v>SINAPI</v>
      </c>
      <c r="D40" s="243" t="str">
        <f>VLOOKUP(B40,INSUMOS!$A:$I,3,FALSE)</f>
        <v>BACIA SANITARIA (VASO) CONVENCIONAL DE LOUCA BRANCA</v>
      </c>
      <c r="E40" s="281" t="str">
        <f>VLOOKUP(B40,INSUMOS!$A:$I,4,FALSE)</f>
        <v>Material</v>
      </c>
      <c r="F40" s="281"/>
      <c r="G40" s="215" t="str">
        <f>VLOOKUP(B40,INSUMOS!$A:$I,5,FALSE)</f>
        <v>UN</v>
      </c>
      <c r="H40" s="218">
        <v>0.2</v>
      </c>
      <c r="I40" s="217">
        <f>VLOOKUP(B40,INSUMOS!$A:$I,8,FALSE)</f>
        <v>99.99</v>
      </c>
      <c r="J40" s="217">
        <f t="shared" si="17"/>
        <v>19.989999999999998</v>
      </c>
      <c r="L40" s="149">
        <f t="shared" si="0"/>
        <v>3</v>
      </c>
      <c r="M40" s="156">
        <f t="shared" si="1"/>
        <v>19.989999999999998</v>
      </c>
      <c r="N40" s="157" t="str">
        <f t="shared" si="2"/>
        <v/>
      </c>
      <c r="O40" s="157">
        <f t="shared" si="14"/>
        <v>19.989999999999998</v>
      </c>
      <c r="P40" s="158" t="str">
        <f t="shared" si="4"/>
        <v/>
      </c>
      <c r="Q40" s="157" t="str">
        <f t="shared" si="15"/>
        <v/>
      </c>
      <c r="R40" s="157" t="str">
        <f t="shared" si="16"/>
        <v/>
      </c>
    </row>
    <row r="41" spans="1:18" ht="25.5" x14ac:dyDescent="0.2">
      <c r="A41" s="243" t="s">
        <v>30</v>
      </c>
      <c r="B41" s="216" t="s">
        <v>400</v>
      </c>
      <c r="C41" s="243" t="str">
        <f>VLOOKUP(B41,INSUMOS!$A:$I,2,FALSE)</f>
        <v>SINAPI</v>
      </c>
      <c r="D41" s="243" t="str">
        <f>VLOOKUP(B41,INSUMOS!$A:$I,3,FALSE)</f>
        <v>CHUVEIRO PLASTICO BRANCO SIMPLES 5 '' PARA ACOPLAR EM HASTE 1/2 ", AGUA FRIA</v>
      </c>
      <c r="E41" s="281" t="str">
        <f>VLOOKUP(B41,INSUMOS!$A:$I,4,FALSE)</f>
        <v>Material</v>
      </c>
      <c r="F41" s="281"/>
      <c r="G41" s="215" t="str">
        <f>VLOOKUP(B41,INSUMOS!$A:$I,5,FALSE)</f>
        <v>UN</v>
      </c>
      <c r="H41" s="218">
        <v>0.4</v>
      </c>
      <c r="I41" s="217">
        <f>VLOOKUP(B41,INSUMOS!$A:$I,8,FALSE)</f>
        <v>4.3499999999999996</v>
      </c>
      <c r="J41" s="217">
        <f t="shared" si="17"/>
        <v>1.74</v>
      </c>
      <c r="L41" s="149">
        <f t="shared" si="0"/>
        <v>3</v>
      </c>
      <c r="M41" s="156">
        <f t="shared" si="1"/>
        <v>1.74</v>
      </c>
      <c r="N41" s="157" t="str">
        <f t="shared" si="2"/>
        <v/>
      </c>
      <c r="O41" s="157">
        <f t="shared" si="14"/>
        <v>1.74</v>
      </c>
      <c r="P41" s="158" t="str">
        <f t="shared" si="4"/>
        <v/>
      </c>
      <c r="Q41" s="157" t="str">
        <f t="shared" si="15"/>
        <v/>
      </c>
      <c r="R41" s="157" t="str">
        <f t="shared" si="16"/>
        <v/>
      </c>
    </row>
    <row r="42" spans="1:18" x14ac:dyDescent="0.2">
      <c r="A42" s="243" t="s">
        <v>30</v>
      </c>
      <c r="B42" s="216" t="s">
        <v>394</v>
      </c>
      <c r="C42" s="243" t="str">
        <f>VLOOKUP(B42,INSUMOS!$A:$I,2,FALSE)</f>
        <v>SINAPI</v>
      </c>
      <c r="D42" s="243" t="str">
        <f>VLOOKUP(B42,INSUMOS!$A:$I,3,FALSE)</f>
        <v>LAVATORIO LOUCA BRANCA SUSPENSO *40 X 30* CM</v>
      </c>
      <c r="E42" s="281" t="str">
        <f>VLOOKUP(B42,INSUMOS!$A:$I,4,FALSE)</f>
        <v>Material</v>
      </c>
      <c r="F42" s="281"/>
      <c r="G42" s="215" t="str">
        <f>VLOOKUP(B42,INSUMOS!$A:$I,5,FALSE)</f>
        <v>UN</v>
      </c>
      <c r="H42" s="218">
        <v>0.1</v>
      </c>
      <c r="I42" s="217">
        <f>VLOOKUP(B42,INSUMOS!$A:$I,8,FALSE)</f>
        <v>65.25</v>
      </c>
      <c r="J42" s="217">
        <f t="shared" si="17"/>
        <v>6.52</v>
      </c>
      <c r="L42" s="149">
        <f t="shared" si="0"/>
        <v>3</v>
      </c>
      <c r="M42" s="156">
        <f t="shared" si="1"/>
        <v>6.52</v>
      </c>
      <c r="N42" s="157" t="str">
        <f t="shared" si="2"/>
        <v/>
      </c>
      <c r="O42" s="157">
        <f t="shared" si="14"/>
        <v>6.52</v>
      </c>
      <c r="P42" s="158" t="str">
        <f t="shared" si="4"/>
        <v/>
      </c>
      <c r="Q42" s="157" t="str">
        <f t="shared" si="15"/>
        <v/>
      </c>
      <c r="R42" s="157" t="str">
        <f t="shared" si="16"/>
        <v/>
      </c>
    </row>
    <row r="43" spans="1:18" ht="25.5" x14ac:dyDescent="0.2">
      <c r="A43" s="243" t="s">
        <v>30</v>
      </c>
      <c r="B43" s="216" t="s">
        <v>317</v>
      </c>
      <c r="C43" s="243" t="str">
        <f>VLOOKUP(B43,INSUMOS!$A:$I,2,FALSE)</f>
        <v>SINAPI</v>
      </c>
      <c r="D43" s="243" t="str">
        <f>VLOOKUP(B43,INSUMOS!$A:$I,3,FALSE)</f>
        <v>LOCACAO DE CONTAINER 2,30 X 4,30 M, ALT. 2,50 M, PARA SANITARIO, COM 3 BACIAS, 4 CHUVEIROS, 1 LAVATORIO E 1 MICTORIO</v>
      </c>
      <c r="E43" s="281" t="str">
        <f>VLOOKUP(B43,INSUMOS!$A:$I,4,FALSE)</f>
        <v>Equipamento</v>
      </c>
      <c r="F43" s="281"/>
      <c r="G43" s="215" t="str">
        <f>VLOOKUP(B43,INSUMOS!$A:$I,5,FALSE)</f>
        <v>MES</v>
      </c>
      <c r="H43" s="218">
        <v>1</v>
      </c>
      <c r="I43" s="217">
        <f>VLOOKUP(B43,INSUMOS!$A:$I,8,FALSE)</f>
        <v>584.73</v>
      </c>
      <c r="J43" s="217">
        <f t="shared" si="17"/>
        <v>584.73</v>
      </c>
      <c r="L43" s="149">
        <f t="shared" si="0"/>
        <v>3</v>
      </c>
      <c r="M43" s="156">
        <f t="shared" si="1"/>
        <v>584.73</v>
      </c>
      <c r="N43" s="157" t="str">
        <f t="shared" si="2"/>
        <v/>
      </c>
      <c r="O43" s="157">
        <f t="shared" si="14"/>
        <v>584.73</v>
      </c>
      <c r="P43" s="158" t="str">
        <f t="shared" si="4"/>
        <v/>
      </c>
      <c r="Q43" s="157" t="str">
        <f t="shared" si="15"/>
        <v/>
      </c>
      <c r="R43" s="157" t="str">
        <f t="shared" si="16"/>
        <v/>
      </c>
    </row>
    <row r="44" spans="1:18" ht="25.5" customHeight="1" x14ac:dyDescent="0.2">
      <c r="A44" s="243" t="s">
        <v>30</v>
      </c>
      <c r="B44" s="216" t="s">
        <v>372</v>
      </c>
      <c r="C44" s="243" t="str">
        <f>VLOOKUP(B44,INSUMOS!$A:$I,2,FALSE)</f>
        <v>SINAPI</v>
      </c>
      <c r="D44" s="243" t="str">
        <f>VLOOKUP(B44,INSUMOS!$A:$I,3,FALSE)</f>
        <v>MICTORIO SIFONADO LOUCA BRANCA SEM COMPLEMENTOS</v>
      </c>
      <c r="E44" s="281" t="str">
        <f>VLOOKUP(B44,INSUMOS!$A:$I,4,FALSE)</f>
        <v>Material</v>
      </c>
      <c r="F44" s="281"/>
      <c r="G44" s="215" t="str">
        <f>VLOOKUP(B44,INSUMOS!$A:$I,5,FALSE)</f>
        <v>UN</v>
      </c>
      <c r="H44" s="218">
        <v>0.1</v>
      </c>
      <c r="I44" s="217">
        <f>VLOOKUP(B44,INSUMOS!$A:$I,8,FALSE)</f>
        <v>227.31</v>
      </c>
      <c r="J44" s="217">
        <f t="shared" si="17"/>
        <v>22.73</v>
      </c>
      <c r="L44" s="149">
        <f t="shared" si="0"/>
        <v>3</v>
      </c>
      <c r="M44" s="156">
        <f t="shared" si="1"/>
        <v>22.73</v>
      </c>
      <c r="N44" s="157" t="str">
        <f t="shared" si="2"/>
        <v/>
      </c>
      <c r="O44" s="157">
        <f t="shared" si="14"/>
        <v>22.73</v>
      </c>
      <c r="P44" s="158" t="str">
        <f t="shared" si="4"/>
        <v/>
      </c>
      <c r="Q44" s="157" t="str">
        <f t="shared" si="15"/>
        <v/>
      </c>
      <c r="R44" s="157" t="str">
        <f t="shared" si="16"/>
        <v/>
      </c>
    </row>
    <row r="45" spans="1:18" ht="25.5" customHeight="1" x14ac:dyDescent="0.2">
      <c r="A45" s="246"/>
      <c r="B45" s="246"/>
      <c r="C45" s="246"/>
      <c r="D45" s="246"/>
      <c r="E45" s="246"/>
      <c r="F45" s="222"/>
      <c r="G45" s="246"/>
      <c r="H45" s="222"/>
      <c r="I45" s="246"/>
      <c r="J45" s="222"/>
      <c r="L45" s="149">
        <f t="shared" si="0"/>
        <v>3</v>
      </c>
      <c r="M45" s="156" t="str">
        <f t="shared" si="1"/>
        <v/>
      </c>
      <c r="N45" s="157" t="str">
        <f t="shared" si="2"/>
        <v/>
      </c>
      <c r="O45" s="157" t="str">
        <f t="shared" si="14"/>
        <v/>
      </c>
      <c r="P45" s="158" t="str">
        <f t="shared" si="4"/>
        <v/>
      </c>
      <c r="Q45" s="157" t="str">
        <f t="shared" si="15"/>
        <v/>
      </c>
      <c r="R45" s="157" t="str">
        <f t="shared" si="16"/>
        <v/>
      </c>
    </row>
    <row r="46" spans="1:18" ht="25.5" customHeight="1" x14ac:dyDescent="0.2">
      <c r="A46" s="246"/>
      <c r="B46" s="246"/>
      <c r="C46" s="246"/>
      <c r="D46" s="246"/>
      <c r="E46" s="246"/>
      <c r="F46" s="222"/>
      <c r="G46" s="246"/>
      <c r="H46" s="282" t="s">
        <v>39</v>
      </c>
      <c r="I46" s="282"/>
      <c r="J46" s="222">
        <f>TRUNC(SUMIF(L:L,$L46,M:M)*(1+$J$9),2)</f>
        <v>777</v>
      </c>
      <c r="L46" s="149">
        <f t="shared" si="0"/>
        <v>3</v>
      </c>
      <c r="M46" s="156" t="str">
        <f t="shared" si="1"/>
        <v/>
      </c>
      <c r="N46" s="157" t="str">
        <f t="shared" si="2"/>
        <v/>
      </c>
      <c r="O46" s="157" t="str">
        <f t="shared" si="14"/>
        <v/>
      </c>
      <c r="P46" s="158" t="str">
        <f t="shared" si="4"/>
        <v/>
      </c>
      <c r="Q46" s="157" t="str">
        <f t="shared" si="15"/>
        <v/>
      </c>
      <c r="R46" s="157" t="str">
        <f t="shared" si="16"/>
        <v/>
      </c>
    </row>
    <row r="47" spans="1:18" ht="15" thickBot="1" x14ac:dyDescent="0.25">
      <c r="A47" s="219"/>
      <c r="B47" s="219"/>
      <c r="C47" s="219"/>
      <c r="D47" s="219"/>
      <c r="E47" s="219"/>
      <c r="F47" s="219"/>
      <c r="G47" s="219" t="s">
        <v>40</v>
      </c>
      <c r="H47" s="221">
        <v>2</v>
      </c>
      <c r="I47" s="219" t="s">
        <v>41</v>
      </c>
      <c r="J47" s="220">
        <f>TRUNC(J46*H47,2)</f>
        <v>1554</v>
      </c>
      <c r="L47" s="149">
        <f t="shared" si="0"/>
        <v>3</v>
      </c>
      <c r="M47" s="156" t="str">
        <f t="shared" si="1"/>
        <v/>
      </c>
      <c r="N47" s="157" t="str">
        <f t="shared" si="2"/>
        <v/>
      </c>
      <c r="O47" s="157" t="str">
        <f t="shared" si="14"/>
        <v/>
      </c>
      <c r="P47" s="158" t="str">
        <f t="shared" si="4"/>
        <v/>
      </c>
      <c r="Q47" s="157" t="str">
        <f t="shared" si="15"/>
        <v/>
      </c>
      <c r="R47" s="157" t="str">
        <f t="shared" si="16"/>
        <v/>
      </c>
    </row>
    <row r="48" spans="1:18" ht="14.25" customHeight="1" thickTop="1" x14ac:dyDescent="0.2">
      <c r="A48" s="210"/>
      <c r="B48" s="210"/>
      <c r="C48" s="210"/>
      <c r="D48" s="210"/>
      <c r="E48" s="210"/>
      <c r="F48" s="210"/>
      <c r="G48" s="210"/>
      <c r="H48" s="210"/>
      <c r="I48" s="210"/>
      <c r="J48" s="210"/>
      <c r="L48" s="149">
        <f t="shared" si="0"/>
        <v>4</v>
      </c>
      <c r="M48" s="156" t="str">
        <f t="shared" si="1"/>
        <v/>
      </c>
      <c r="N48" s="157" t="str">
        <f t="shared" si="2"/>
        <v/>
      </c>
      <c r="O48" s="157" t="str">
        <f t="shared" si="14"/>
        <v/>
      </c>
      <c r="P48" s="158" t="str">
        <f t="shared" si="4"/>
        <v/>
      </c>
      <c r="Q48" s="157" t="str">
        <f t="shared" si="15"/>
        <v/>
      </c>
      <c r="R48" s="157" t="str">
        <f t="shared" si="16"/>
        <v/>
      </c>
    </row>
    <row r="49" spans="1:18" ht="14.25" customHeight="1" x14ac:dyDescent="0.2">
      <c r="A49" s="249" t="s">
        <v>426</v>
      </c>
      <c r="B49" s="249"/>
      <c r="C49" s="249"/>
      <c r="D49" s="249" t="s">
        <v>427</v>
      </c>
      <c r="E49" s="249"/>
      <c r="F49" s="286"/>
      <c r="G49" s="286"/>
      <c r="H49" s="204"/>
      <c r="I49" s="249"/>
      <c r="J49" s="205"/>
      <c r="L49" s="149">
        <f t="shared" si="0"/>
        <v>4</v>
      </c>
      <c r="M49" s="156" t="str">
        <f t="shared" si="1"/>
        <v/>
      </c>
      <c r="N49" s="157" t="str">
        <f t="shared" si="2"/>
        <v/>
      </c>
      <c r="O49" s="157" t="str">
        <f t="shared" si="14"/>
        <v/>
      </c>
      <c r="P49" s="158" t="str">
        <f t="shared" si="4"/>
        <v/>
      </c>
      <c r="Q49" s="157" t="str">
        <f t="shared" si="15"/>
        <v/>
      </c>
      <c r="R49" s="157" t="str">
        <f t="shared" si="16"/>
        <v/>
      </c>
    </row>
    <row r="50" spans="1:18" ht="15" x14ac:dyDescent="0.2">
      <c r="A50" s="245" t="s">
        <v>428</v>
      </c>
      <c r="B50" s="203" t="s">
        <v>1</v>
      </c>
      <c r="C50" s="245" t="s">
        <v>2</v>
      </c>
      <c r="D50" s="245" t="s">
        <v>3</v>
      </c>
      <c r="E50" s="284" t="s">
        <v>17</v>
      </c>
      <c r="F50" s="284"/>
      <c r="G50" s="202" t="s">
        <v>4</v>
      </c>
      <c r="H50" s="203" t="s">
        <v>5</v>
      </c>
      <c r="I50" s="203" t="s">
        <v>6</v>
      </c>
      <c r="J50" s="203" t="s">
        <v>7</v>
      </c>
      <c r="L50" s="149">
        <f t="shared" si="0"/>
        <v>4</v>
      </c>
      <c r="M50" s="156" t="str">
        <f t="shared" si="1"/>
        <v/>
      </c>
      <c r="N50" s="157" t="str">
        <f t="shared" si="2"/>
        <v/>
      </c>
      <c r="O50" s="157" t="str">
        <f t="shared" si="14"/>
        <v/>
      </c>
      <c r="P50" s="158" t="str">
        <f t="shared" si="4"/>
        <v/>
      </c>
      <c r="Q50" s="157" t="str">
        <f t="shared" si="15"/>
        <v/>
      </c>
      <c r="R50" s="157" t="str">
        <f t="shared" si="16"/>
        <v/>
      </c>
    </row>
    <row r="51" spans="1:18" ht="25.5" customHeight="1" x14ac:dyDescent="0.2">
      <c r="A51" s="247" t="s">
        <v>18</v>
      </c>
      <c r="B51" s="207" t="s">
        <v>429</v>
      </c>
      <c r="C51" s="247" t="s">
        <v>11</v>
      </c>
      <c r="D51" s="247" t="s">
        <v>430</v>
      </c>
      <c r="E51" s="285" t="s">
        <v>268</v>
      </c>
      <c r="F51" s="285"/>
      <c r="G51" s="206" t="s">
        <v>12</v>
      </c>
      <c r="H51" s="209">
        <v>1</v>
      </c>
      <c r="I51" s="208">
        <f>SUMIF(L:L,$L51,M:M)</f>
        <v>1285.44</v>
      </c>
      <c r="J51" s="208">
        <f>TRUNC(H51*I51,2)</f>
        <v>1285.44</v>
      </c>
      <c r="L51" s="149">
        <f t="shared" si="0"/>
        <v>4</v>
      </c>
      <c r="M51" s="156" t="str">
        <f t="shared" si="1"/>
        <v/>
      </c>
      <c r="N51" s="157" t="str">
        <f t="shared" si="2"/>
        <v/>
      </c>
      <c r="O51" s="157" t="str">
        <f t="shared" si="14"/>
        <v/>
      </c>
      <c r="P51" s="158" t="str">
        <f t="shared" si="4"/>
        <v xml:space="preserve"> 01.03.01 </v>
      </c>
      <c r="Q51" s="157">
        <f t="shared" si="15"/>
        <v>1285.44</v>
      </c>
      <c r="R51" s="157">
        <f t="shared" si="16"/>
        <v>0</v>
      </c>
    </row>
    <row r="52" spans="1:18" ht="25.5" x14ac:dyDescent="0.2">
      <c r="A52" s="244" t="s">
        <v>20</v>
      </c>
      <c r="B52" s="212" t="s">
        <v>275</v>
      </c>
      <c r="C52" s="244" t="s">
        <v>8</v>
      </c>
      <c r="D52" s="244" t="s">
        <v>276</v>
      </c>
      <c r="E52" s="283" t="s">
        <v>26</v>
      </c>
      <c r="F52" s="283"/>
      <c r="G52" s="211" t="s">
        <v>27</v>
      </c>
      <c r="H52" s="214">
        <v>8</v>
      </c>
      <c r="I52" s="213">
        <f>SUMIFS('ANALÍTICA AUXILIARES'!J:J,'ANALÍTICA AUXILIARES'!A:A,"Composição",'ANALÍTICA AUXILIARES'!B:B,$B52)</f>
        <v>126.34</v>
      </c>
      <c r="J52" s="213">
        <f>TRUNC(H52*I52,2)</f>
        <v>1010.72</v>
      </c>
      <c r="L52" s="149">
        <f t="shared" si="0"/>
        <v>4</v>
      </c>
      <c r="M52" s="156">
        <f t="shared" si="1"/>
        <v>1010.72</v>
      </c>
      <c r="N52" s="157">
        <f t="shared" si="2"/>
        <v>1010.72</v>
      </c>
      <c r="O52" s="157" t="str">
        <f t="shared" si="14"/>
        <v/>
      </c>
      <c r="P52" s="158" t="str">
        <f t="shared" si="4"/>
        <v/>
      </c>
      <c r="Q52" s="157" t="str">
        <f t="shared" si="15"/>
        <v/>
      </c>
      <c r="R52" s="157" t="str">
        <f t="shared" si="16"/>
        <v/>
      </c>
    </row>
    <row r="53" spans="1:18" ht="25.5" customHeight="1" x14ac:dyDescent="0.2">
      <c r="A53" s="244" t="s">
        <v>20</v>
      </c>
      <c r="B53" s="212" t="s">
        <v>409</v>
      </c>
      <c r="C53" s="244" t="s">
        <v>8</v>
      </c>
      <c r="D53" s="244" t="s">
        <v>410</v>
      </c>
      <c r="E53" s="283" t="s">
        <v>26</v>
      </c>
      <c r="F53" s="283"/>
      <c r="G53" s="211" t="s">
        <v>27</v>
      </c>
      <c r="H53" s="214">
        <v>16</v>
      </c>
      <c r="I53" s="213">
        <f>SUMIFS('ANALÍTICA AUXILIARES'!J:J,'ANALÍTICA AUXILIARES'!A:A,"Composição",'ANALÍTICA AUXILIARES'!B:B,$B53)</f>
        <v>17.170000000000002</v>
      </c>
      <c r="J53" s="213">
        <f>TRUNC(H53*I53,2)</f>
        <v>274.72000000000003</v>
      </c>
      <c r="L53" s="149">
        <f t="shared" si="0"/>
        <v>4</v>
      </c>
      <c r="M53" s="156">
        <f t="shared" si="1"/>
        <v>274.72000000000003</v>
      </c>
      <c r="N53" s="157">
        <f t="shared" si="2"/>
        <v>274.72000000000003</v>
      </c>
      <c r="O53" s="157" t="str">
        <f t="shared" si="14"/>
        <v/>
      </c>
      <c r="P53" s="158" t="str">
        <f t="shared" si="4"/>
        <v/>
      </c>
      <c r="Q53" s="157" t="str">
        <f t="shared" si="15"/>
        <v/>
      </c>
      <c r="R53" s="157" t="str">
        <f t="shared" si="16"/>
        <v/>
      </c>
    </row>
    <row r="54" spans="1:18" ht="25.5" customHeight="1" x14ac:dyDescent="0.2">
      <c r="A54" s="246"/>
      <c r="B54" s="246"/>
      <c r="C54" s="246"/>
      <c r="D54" s="246"/>
      <c r="E54" s="246"/>
      <c r="F54" s="222"/>
      <c r="G54" s="246"/>
      <c r="H54" s="222"/>
      <c r="I54" s="246"/>
      <c r="J54" s="222"/>
      <c r="L54" s="149">
        <f t="shared" si="0"/>
        <v>4</v>
      </c>
      <c r="M54" s="156" t="str">
        <f t="shared" si="1"/>
        <v/>
      </c>
      <c r="N54" s="157" t="str">
        <f t="shared" si="2"/>
        <v/>
      </c>
      <c r="O54" s="157" t="str">
        <f t="shared" si="14"/>
        <v/>
      </c>
      <c r="P54" s="158" t="str">
        <f t="shared" si="4"/>
        <v/>
      </c>
      <c r="Q54" s="157" t="str">
        <f t="shared" si="15"/>
        <v/>
      </c>
      <c r="R54" s="157" t="str">
        <f t="shared" si="16"/>
        <v/>
      </c>
    </row>
    <row r="55" spans="1:18" ht="25.5" customHeight="1" x14ac:dyDescent="0.2">
      <c r="A55" s="246"/>
      <c r="B55" s="246"/>
      <c r="C55" s="246"/>
      <c r="D55" s="246"/>
      <c r="E55" s="246"/>
      <c r="F55" s="222"/>
      <c r="G55" s="246"/>
      <c r="H55" s="282" t="s">
        <v>39</v>
      </c>
      <c r="I55" s="282"/>
      <c r="J55" s="222">
        <f>TRUNC(SUMIF(L:L,$L55,M:M)*(1+$J$9),2)</f>
        <v>1571.14</v>
      </c>
      <c r="L55" s="149">
        <f t="shared" si="0"/>
        <v>4</v>
      </c>
      <c r="M55" s="156" t="str">
        <f t="shared" si="1"/>
        <v/>
      </c>
      <c r="N55" s="157" t="str">
        <f t="shared" si="2"/>
        <v/>
      </c>
      <c r="O55" s="157" t="str">
        <f t="shared" si="14"/>
        <v/>
      </c>
      <c r="P55" s="158" t="str">
        <f t="shared" si="4"/>
        <v/>
      </c>
      <c r="Q55" s="157" t="str">
        <f t="shared" si="15"/>
        <v/>
      </c>
      <c r="R55" s="157" t="str">
        <f t="shared" si="16"/>
        <v/>
      </c>
    </row>
    <row r="56" spans="1:18" ht="25.5" customHeight="1" thickBot="1" x14ac:dyDescent="0.25">
      <c r="A56" s="219"/>
      <c r="B56" s="219"/>
      <c r="C56" s="219"/>
      <c r="D56" s="219"/>
      <c r="E56" s="219"/>
      <c r="F56" s="219"/>
      <c r="G56" s="219" t="s">
        <v>40</v>
      </c>
      <c r="H56" s="221">
        <v>1</v>
      </c>
      <c r="I56" s="219" t="s">
        <v>41</v>
      </c>
      <c r="J56" s="220">
        <f>TRUNC(J55*H56,2)</f>
        <v>1571.14</v>
      </c>
      <c r="L56" s="149">
        <f t="shared" si="0"/>
        <v>4</v>
      </c>
      <c r="M56" s="156" t="str">
        <f t="shared" si="1"/>
        <v/>
      </c>
      <c r="N56" s="157" t="str">
        <f t="shared" si="2"/>
        <v/>
      </c>
      <c r="O56" s="157" t="str">
        <f t="shared" si="14"/>
        <v/>
      </c>
      <c r="P56" s="158" t="str">
        <f t="shared" si="4"/>
        <v/>
      </c>
      <c r="Q56" s="157" t="str">
        <f t="shared" si="15"/>
        <v/>
      </c>
      <c r="R56" s="157" t="str">
        <f t="shared" si="16"/>
        <v/>
      </c>
    </row>
    <row r="57" spans="1:18" ht="15" thickTop="1" x14ac:dyDescent="0.2">
      <c r="A57" s="210"/>
      <c r="B57" s="210"/>
      <c r="C57" s="210"/>
      <c r="D57" s="210"/>
      <c r="E57" s="210"/>
      <c r="F57" s="210"/>
      <c r="G57" s="210"/>
      <c r="H57" s="210"/>
      <c r="I57" s="210"/>
      <c r="J57" s="210"/>
      <c r="L57" s="149">
        <f t="shared" si="0"/>
        <v>5</v>
      </c>
      <c r="M57" s="156" t="str">
        <f t="shared" si="1"/>
        <v/>
      </c>
      <c r="N57" s="157" t="str">
        <f t="shared" si="2"/>
        <v/>
      </c>
      <c r="O57" s="157" t="str">
        <f t="shared" si="14"/>
        <v/>
      </c>
      <c r="P57" s="158" t="str">
        <f t="shared" si="4"/>
        <v/>
      </c>
      <c r="Q57" s="157" t="str">
        <f t="shared" si="15"/>
        <v/>
      </c>
      <c r="R57" s="157" t="str">
        <f t="shared" si="16"/>
        <v/>
      </c>
    </row>
    <row r="58" spans="1:18" ht="14.25" customHeight="1" x14ac:dyDescent="0.2">
      <c r="A58" s="249" t="s">
        <v>431</v>
      </c>
      <c r="B58" s="249"/>
      <c r="C58" s="249"/>
      <c r="D58" s="249" t="s">
        <v>432</v>
      </c>
      <c r="E58" s="249"/>
      <c r="F58" s="286"/>
      <c r="G58" s="286"/>
      <c r="H58" s="204"/>
      <c r="I58" s="249"/>
      <c r="J58" s="205"/>
      <c r="L58" s="149">
        <f t="shared" si="0"/>
        <v>5</v>
      </c>
      <c r="M58" s="156" t="str">
        <f t="shared" si="1"/>
        <v/>
      </c>
      <c r="N58" s="157" t="str">
        <f t="shared" si="2"/>
        <v/>
      </c>
      <c r="O58" s="157" t="str">
        <f t="shared" si="14"/>
        <v/>
      </c>
      <c r="P58" s="158" t="str">
        <f t="shared" si="4"/>
        <v/>
      </c>
      <c r="Q58" s="157" t="str">
        <f t="shared" si="15"/>
        <v/>
      </c>
      <c r="R58" s="157" t="str">
        <f t="shared" si="16"/>
        <v/>
      </c>
    </row>
    <row r="59" spans="1:18" ht="14.25" customHeight="1" x14ac:dyDescent="0.2">
      <c r="A59" s="245" t="s">
        <v>433</v>
      </c>
      <c r="B59" s="203" t="s">
        <v>1</v>
      </c>
      <c r="C59" s="245" t="s">
        <v>2</v>
      </c>
      <c r="D59" s="245" t="s">
        <v>3</v>
      </c>
      <c r="E59" s="284" t="s">
        <v>17</v>
      </c>
      <c r="F59" s="284"/>
      <c r="G59" s="202" t="s">
        <v>4</v>
      </c>
      <c r="H59" s="203" t="s">
        <v>5</v>
      </c>
      <c r="I59" s="203" t="s">
        <v>6</v>
      </c>
      <c r="J59" s="203" t="s">
        <v>7</v>
      </c>
      <c r="L59" s="149">
        <f t="shared" si="0"/>
        <v>5</v>
      </c>
      <c r="M59" s="156" t="str">
        <f t="shared" si="1"/>
        <v/>
      </c>
      <c r="N59" s="157" t="str">
        <f t="shared" si="2"/>
        <v/>
      </c>
      <c r="O59" s="157" t="str">
        <f t="shared" si="14"/>
        <v/>
      </c>
      <c r="P59" s="158" t="str">
        <f t="shared" si="4"/>
        <v/>
      </c>
      <c r="Q59" s="157" t="str">
        <f t="shared" si="15"/>
        <v/>
      </c>
      <c r="R59" s="157" t="str">
        <f t="shared" si="16"/>
        <v/>
      </c>
    </row>
    <row r="60" spans="1:18" ht="25.5" customHeight="1" x14ac:dyDescent="0.2">
      <c r="A60" s="247" t="s">
        <v>18</v>
      </c>
      <c r="B60" s="207" t="s">
        <v>434</v>
      </c>
      <c r="C60" s="247" t="s">
        <v>11</v>
      </c>
      <c r="D60" s="247" t="s">
        <v>435</v>
      </c>
      <c r="E60" s="285" t="s">
        <v>190</v>
      </c>
      <c r="F60" s="285"/>
      <c r="G60" s="206" t="s">
        <v>291</v>
      </c>
      <c r="H60" s="209">
        <v>1</v>
      </c>
      <c r="I60" s="208">
        <f>SUMIF(L:L,$L60,M:M)</f>
        <v>458.65999999999997</v>
      </c>
      <c r="J60" s="208">
        <f>TRUNC(H60*I60,2)</f>
        <v>458.66</v>
      </c>
      <c r="L60" s="149">
        <f t="shared" si="0"/>
        <v>5</v>
      </c>
      <c r="M60" s="156" t="str">
        <f t="shared" si="1"/>
        <v/>
      </c>
      <c r="N60" s="157" t="str">
        <f t="shared" si="2"/>
        <v/>
      </c>
      <c r="O60" s="157" t="str">
        <f t="shared" si="14"/>
        <v/>
      </c>
      <c r="P60" s="158" t="str">
        <f t="shared" si="4"/>
        <v xml:space="preserve"> 02.01 </v>
      </c>
      <c r="Q60" s="157">
        <f t="shared" si="15"/>
        <v>30.659999999999997</v>
      </c>
      <c r="R60" s="157">
        <f t="shared" si="16"/>
        <v>428</v>
      </c>
    </row>
    <row r="61" spans="1:18" ht="25.5" x14ac:dyDescent="0.2">
      <c r="A61" s="244" t="s">
        <v>20</v>
      </c>
      <c r="B61" s="212" t="s">
        <v>113</v>
      </c>
      <c r="C61" s="244" t="s">
        <v>8</v>
      </c>
      <c r="D61" s="244" t="s">
        <v>70</v>
      </c>
      <c r="E61" s="283" t="s">
        <v>26</v>
      </c>
      <c r="F61" s="283"/>
      <c r="G61" s="211" t="s">
        <v>27</v>
      </c>
      <c r="H61" s="214">
        <v>1</v>
      </c>
      <c r="I61" s="213">
        <f>SUMIFS('ANALÍTICA AUXILIARES'!J:J,'ANALÍTICA AUXILIARES'!A:A,"Composição",'ANALÍTICA AUXILIARES'!B:B,$B61)</f>
        <v>16.97</v>
      </c>
      <c r="J61" s="213">
        <f>TRUNC(H61*I61,2)</f>
        <v>16.97</v>
      </c>
      <c r="L61" s="149">
        <f t="shared" si="0"/>
        <v>5</v>
      </c>
      <c r="M61" s="156">
        <f t="shared" si="1"/>
        <v>16.97</v>
      </c>
      <c r="N61" s="157">
        <f t="shared" si="2"/>
        <v>16.97</v>
      </c>
      <c r="O61" s="157" t="str">
        <f t="shared" si="14"/>
        <v/>
      </c>
      <c r="P61" s="158" t="str">
        <f t="shared" si="4"/>
        <v/>
      </c>
      <c r="Q61" s="157" t="str">
        <f t="shared" si="15"/>
        <v/>
      </c>
      <c r="R61" s="157" t="str">
        <f t="shared" si="16"/>
        <v/>
      </c>
    </row>
    <row r="62" spans="1:18" ht="25.5" customHeight="1" x14ac:dyDescent="0.2">
      <c r="A62" s="244" t="s">
        <v>20</v>
      </c>
      <c r="B62" s="212" t="s">
        <v>260</v>
      </c>
      <c r="C62" s="244" t="s">
        <v>8</v>
      </c>
      <c r="D62" s="244" t="s">
        <v>261</v>
      </c>
      <c r="E62" s="283" t="s">
        <v>26</v>
      </c>
      <c r="F62" s="283"/>
      <c r="G62" s="211" t="s">
        <v>27</v>
      </c>
      <c r="H62" s="214">
        <v>1</v>
      </c>
      <c r="I62" s="213">
        <f>SUMIFS('ANALÍTICA AUXILIARES'!J:J,'ANALÍTICA AUXILIARES'!A:A,"Composição",'ANALÍTICA AUXILIARES'!B:B,$B62)</f>
        <v>13.69</v>
      </c>
      <c r="J62" s="213">
        <f>TRUNC(H62*I62,2)</f>
        <v>13.69</v>
      </c>
      <c r="L62" s="149">
        <f t="shared" si="0"/>
        <v>5</v>
      </c>
      <c r="M62" s="156">
        <f t="shared" si="1"/>
        <v>13.69</v>
      </c>
      <c r="N62" s="157">
        <f t="shared" si="2"/>
        <v>13.69</v>
      </c>
      <c r="O62" s="157" t="str">
        <f t="shared" si="14"/>
        <v/>
      </c>
      <c r="P62" s="158" t="str">
        <f t="shared" si="4"/>
        <v/>
      </c>
      <c r="Q62" s="157" t="str">
        <f t="shared" si="15"/>
        <v/>
      </c>
      <c r="R62" s="157" t="str">
        <f t="shared" si="16"/>
        <v/>
      </c>
    </row>
    <row r="63" spans="1:18" ht="14.25" customHeight="1" x14ac:dyDescent="0.2">
      <c r="A63" s="243" t="s">
        <v>30</v>
      </c>
      <c r="B63" s="216" t="s">
        <v>294</v>
      </c>
      <c r="C63" s="243" t="str">
        <f>VLOOKUP(B63,INSUMOS!$A:$I,2,FALSE)</f>
        <v>Próprio</v>
      </c>
      <c r="D63" s="243" t="str">
        <f>VLOOKUP(B63,INSUMOS!$A:$I,3,FALSE)</f>
        <v>ESTRUTURA PARA 4 MÓDULOS FOTOVOLTAICOS PARA INSTALAÇÃO EM TELHA TRAPEZOIDAL</v>
      </c>
      <c r="E63" s="281" t="str">
        <f>VLOOKUP(B63,INSUMOS!$A:$I,4,FALSE)</f>
        <v>Material</v>
      </c>
      <c r="F63" s="281"/>
      <c r="G63" s="215" t="str">
        <f>VLOOKUP(B63,INSUMOS!$A:$I,5,FALSE)</f>
        <v>UNIDADE</v>
      </c>
      <c r="H63" s="218">
        <v>1</v>
      </c>
      <c r="I63" s="217">
        <f>VLOOKUP(B63,INSUMOS!$A:$I,8,FALSE)</f>
        <v>428</v>
      </c>
      <c r="J63" s="217">
        <f>TRUNC(H63*I63,2)</f>
        <v>428</v>
      </c>
      <c r="L63" s="149">
        <f t="shared" si="0"/>
        <v>5</v>
      </c>
      <c r="M63" s="156">
        <f t="shared" si="1"/>
        <v>428</v>
      </c>
      <c r="N63" s="157" t="str">
        <f t="shared" si="2"/>
        <v/>
      </c>
      <c r="O63" s="157">
        <f t="shared" si="14"/>
        <v>428</v>
      </c>
      <c r="P63" s="158" t="str">
        <f t="shared" si="4"/>
        <v/>
      </c>
      <c r="Q63" s="157" t="str">
        <f t="shared" si="15"/>
        <v/>
      </c>
      <c r="R63" s="157" t="str">
        <f t="shared" si="16"/>
        <v/>
      </c>
    </row>
    <row r="64" spans="1:18" x14ac:dyDescent="0.2">
      <c r="A64" s="246"/>
      <c r="B64" s="246"/>
      <c r="C64" s="246"/>
      <c r="D64" s="246"/>
      <c r="E64" s="246"/>
      <c r="F64" s="222"/>
      <c r="G64" s="246"/>
      <c r="H64" s="222"/>
      <c r="I64" s="246"/>
      <c r="J64" s="222"/>
      <c r="L64" s="149">
        <f t="shared" si="0"/>
        <v>5</v>
      </c>
      <c r="M64" s="156" t="str">
        <f t="shared" si="1"/>
        <v/>
      </c>
      <c r="N64" s="157" t="str">
        <f t="shared" si="2"/>
        <v/>
      </c>
      <c r="O64" s="157" t="str">
        <f t="shared" si="14"/>
        <v/>
      </c>
      <c r="P64" s="158" t="str">
        <f t="shared" si="4"/>
        <v/>
      </c>
      <c r="Q64" s="157" t="str">
        <f t="shared" si="15"/>
        <v/>
      </c>
      <c r="R64" s="157" t="str">
        <f t="shared" si="16"/>
        <v/>
      </c>
    </row>
    <row r="65" spans="1:18" ht="14.25" customHeight="1" x14ac:dyDescent="0.2">
      <c r="A65" s="246"/>
      <c r="B65" s="246"/>
      <c r="C65" s="246"/>
      <c r="D65" s="246"/>
      <c r="E65" s="246"/>
      <c r="F65" s="222"/>
      <c r="G65" s="246"/>
      <c r="H65" s="282" t="s">
        <v>39</v>
      </c>
      <c r="I65" s="282"/>
      <c r="J65" s="222">
        <f>TRUNC(SUMIF(L:L,$L65,M:M)*(1+$J$9),2)</f>
        <v>560.6</v>
      </c>
      <c r="L65" s="149">
        <f t="shared" si="0"/>
        <v>5</v>
      </c>
      <c r="M65" s="156" t="str">
        <f t="shared" si="1"/>
        <v/>
      </c>
      <c r="N65" s="157" t="str">
        <f t="shared" si="2"/>
        <v/>
      </c>
      <c r="O65" s="157" t="str">
        <f t="shared" si="14"/>
        <v/>
      </c>
      <c r="P65" s="158" t="str">
        <f t="shared" si="4"/>
        <v/>
      </c>
      <c r="Q65" s="157" t="str">
        <f t="shared" si="15"/>
        <v/>
      </c>
      <c r="R65" s="157" t="str">
        <f t="shared" si="16"/>
        <v/>
      </c>
    </row>
    <row r="66" spans="1:18" ht="14.25" customHeight="1" thickBot="1" x14ac:dyDescent="0.25">
      <c r="A66" s="219"/>
      <c r="B66" s="219"/>
      <c r="C66" s="219"/>
      <c r="D66" s="219"/>
      <c r="E66" s="219"/>
      <c r="F66" s="219"/>
      <c r="G66" s="219" t="s">
        <v>40</v>
      </c>
      <c r="H66" s="221">
        <v>52</v>
      </c>
      <c r="I66" s="219" t="s">
        <v>41</v>
      </c>
      <c r="J66" s="220">
        <f>TRUNC(J65*H66,2)</f>
        <v>29151.200000000001</v>
      </c>
      <c r="L66" s="149">
        <f t="shared" si="0"/>
        <v>5</v>
      </c>
      <c r="M66" s="156" t="str">
        <f t="shared" si="1"/>
        <v/>
      </c>
      <c r="N66" s="157" t="str">
        <f t="shared" si="2"/>
        <v/>
      </c>
      <c r="O66" s="157" t="str">
        <f t="shared" si="14"/>
        <v/>
      </c>
      <c r="P66" s="158" t="str">
        <f t="shared" si="4"/>
        <v/>
      </c>
      <c r="Q66" s="157" t="str">
        <f t="shared" si="15"/>
        <v/>
      </c>
      <c r="R66" s="157" t="str">
        <f t="shared" si="16"/>
        <v/>
      </c>
    </row>
    <row r="67" spans="1:18" ht="14.25" customHeight="1" thickTop="1" x14ac:dyDescent="0.2">
      <c r="A67" s="210"/>
      <c r="B67" s="210"/>
      <c r="C67" s="210"/>
      <c r="D67" s="210"/>
      <c r="E67" s="210"/>
      <c r="F67" s="210"/>
      <c r="G67" s="210"/>
      <c r="H67" s="210"/>
      <c r="I67" s="210"/>
      <c r="J67" s="210"/>
      <c r="L67" s="149">
        <f t="shared" si="0"/>
        <v>6</v>
      </c>
      <c r="M67" s="156" t="str">
        <f t="shared" si="1"/>
        <v/>
      </c>
      <c r="N67" s="157" t="str">
        <f t="shared" si="2"/>
        <v/>
      </c>
      <c r="O67" s="157" t="str">
        <f t="shared" si="14"/>
        <v/>
      </c>
      <c r="P67" s="158" t="str">
        <f t="shared" si="4"/>
        <v/>
      </c>
      <c r="Q67" s="157" t="str">
        <f t="shared" si="15"/>
        <v/>
      </c>
      <c r="R67" s="157" t="str">
        <f t="shared" si="16"/>
        <v/>
      </c>
    </row>
    <row r="68" spans="1:18" x14ac:dyDescent="0.2">
      <c r="A68" s="249" t="s">
        <v>436</v>
      </c>
      <c r="B68" s="249"/>
      <c r="C68" s="249"/>
      <c r="D68" s="249" t="s">
        <v>437</v>
      </c>
      <c r="E68" s="249"/>
      <c r="F68" s="286"/>
      <c r="G68" s="286"/>
      <c r="H68" s="204"/>
      <c r="I68" s="249"/>
      <c r="J68" s="205"/>
      <c r="L68" s="149">
        <f t="shared" si="0"/>
        <v>6</v>
      </c>
      <c r="M68" s="156" t="str">
        <f t="shared" si="1"/>
        <v/>
      </c>
      <c r="N68" s="157" t="str">
        <f t="shared" si="2"/>
        <v/>
      </c>
      <c r="O68" s="157" t="str">
        <f t="shared" si="14"/>
        <v/>
      </c>
      <c r="P68" s="158" t="str">
        <f t="shared" si="4"/>
        <v/>
      </c>
      <c r="Q68" s="157" t="str">
        <f t="shared" si="15"/>
        <v/>
      </c>
      <c r="R68" s="157" t="str">
        <f t="shared" si="16"/>
        <v/>
      </c>
    </row>
    <row r="69" spans="1:18" ht="15" x14ac:dyDescent="0.2">
      <c r="A69" s="245" t="s">
        <v>438</v>
      </c>
      <c r="B69" s="203" t="s">
        <v>1</v>
      </c>
      <c r="C69" s="245" t="s">
        <v>2</v>
      </c>
      <c r="D69" s="245" t="s">
        <v>3</v>
      </c>
      <c r="E69" s="284" t="s">
        <v>17</v>
      </c>
      <c r="F69" s="284"/>
      <c r="G69" s="202" t="s">
        <v>4</v>
      </c>
      <c r="H69" s="203" t="s">
        <v>5</v>
      </c>
      <c r="I69" s="203" t="s">
        <v>6</v>
      </c>
      <c r="J69" s="203" t="s">
        <v>7</v>
      </c>
      <c r="L69" s="149">
        <f t="shared" si="0"/>
        <v>6</v>
      </c>
      <c r="M69" s="156" t="str">
        <f t="shared" si="1"/>
        <v/>
      </c>
      <c r="N69" s="157" t="str">
        <f t="shared" si="2"/>
        <v/>
      </c>
      <c r="O69" s="157" t="str">
        <f t="shared" si="14"/>
        <v/>
      </c>
      <c r="P69" s="158" t="str">
        <f t="shared" si="4"/>
        <v/>
      </c>
      <c r="Q69" s="157" t="str">
        <f t="shared" si="15"/>
        <v/>
      </c>
      <c r="R69" s="157" t="str">
        <f t="shared" si="16"/>
        <v/>
      </c>
    </row>
    <row r="70" spans="1:18" ht="25.5" customHeight="1" x14ac:dyDescent="0.2">
      <c r="A70" s="247" t="s">
        <v>18</v>
      </c>
      <c r="B70" s="207" t="s">
        <v>439</v>
      </c>
      <c r="C70" s="247" t="s">
        <v>11</v>
      </c>
      <c r="D70" s="247" t="s">
        <v>440</v>
      </c>
      <c r="E70" s="285" t="s">
        <v>268</v>
      </c>
      <c r="F70" s="285"/>
      <c r="G70" s="206" t="s">
        <v>291</v>
      </c>
      <c r="H70" s="209">
        <v>1</v>
      </c>
      <c r="I70" s="208">
        <f>SUMIF(L:L,$L70,M:M)</f>
        <v>717.2</v>
      </c>
      <c r="J70" s="208">
        <f>TRUNC(H70*I70,2)</f>
        <v>717.2</v>
      </c>
      <c r="L70" s="149">
        <f t="shared" si="0"/>
        <v>6</v>
      </c>
      <c r="M70" s="156" t="str">
        <f t="shared" si="1"/>
        <v/>
      </c>
      <c r="N70" s="157" t="str">
        <f t="shared" si="2"/>
        <v/>
      </c>
      <c r="O70" s="157" t="str">
        <f t="shared" si="14"/>
        <v/>
      </c>
      <c r="P70" s="158" t="str">
        <f t="shared" si="4"/>
        <v xml:space="preserve"> 03.01 </v>
      </c>
      <c r="Q70" s="157">
        <f t="shared" si="15"/>
        <v>18.2</v>
      </c>
      <c r="R70" s="157">
        <f t="shared" si="16"/>
        <v>699</v>
      </c>
    </row>
    <row r="71" spans="1:18" ht="25.5" x14ac:dyDescent="0.2">
      <c r="A71" s="244" t="s">
        <v>20</v>
      </c>
      <c r="B71" s="212" t="s">
        <v>269</v>
      </c>
      <c r="C71" s="244" t="s">
        <v>8</v>
      </c>
      <c r="D71" s="244" t="s">
        <v>270</v>
      </c>
      <c r="E71" s="283" t="s">
        <v>26</v>
      </c>
      <c r="F71" s="283"/>
      <c r="G71" s="211" t="s">
        <v>27</v>
      </c>
      <c r="H71" s="214">
        <v>0.5</v>
      </c>
      <c r="I71" s="213">
        <f>SUMIFS('ANALÍTICA AUXILIARES'!J:J,'ANALÍTICA AUXILIARES'!A:A,"Composição",'ANALÍTICA AUXILIARES'!B:B,$B71)</f>
        <v>20.51</v>
      </c>
      <c r="J71" s="213">
        <f>TRUNC(H71*I71,2)</f>
        <v>10.25</v>
      </c>
      <c r="L71" s="149">
        <f t="shared" si="0"/>
        <v>6</v>
      </c>
      <c r="M71" s="156">
        <f t="shared" si="1"/>
        <v>10.25</v>
      </c>
      <c r="N71" s="157">
        <f t="shared" si="2"/>
        <v>10.25</v>
      </c>
      <c r="O71" s="157" t="str">
        <f t="shared" si="14"/>
        <v/>
      </c>
      <c r="P71" s="158" t="str">
        <f t="shared" si="4"/>
        <v/>
      </c>
      <c r="Q71" s="157" t="str">
        <f t="shared" si="15"/>
        <v/>
      </c>
      <c r="R71" s="157" t="str">
        <f t="shared" si="16"/>
        <v/>
      </c>
    </row>
    <row r="72" spans="1:18" ht="25.5" x14ac:dyDescent="0.2">
      <c r="A72" s="244" t="s">
        <v>20</v>
      </c>
      <c r="B72" s="212" t="s">
        <v>264</v>
      </c>
      <c r="C72" s="244" t="s">
        <v>8</v>
      </c>
      <c r="D72" s="244" t="s">
        <v>265</v>
      </c>
      <c r="E72" s="283" t="s">
        <v>26</v>
      </c>
      <c r="F72" s="283"/>
      <c r="G72" s="211" t="s">
        <v>27</v>
      </c>
      <c r="H72" s="214">
        <v>0.5</v>
      </c>
      <c r="I72" s="213">
        <f>SUMIFS('ANALÍTICA AUXILIARES'!J:J,'ANALÍTICA AUXILIARES'!A:A,"Composição",'ANALÍTICA AUXILIARES'!B:B,$B72)</f>
        <v>15.91</v>
      </c>
      <c r="J72" s="213">
        <f>TRUNC(H72*I72,2)</f>
        <v>7.95</v>
      </c>
      <c r="L72" s="149">
        <f t="shared" si="0"/>
        <v>6</v>
      </c>
      <c r="M72" s="156">
        <f t="shared" si="1"/>
        <v>7.95</v>
      </c>
      <c r="N72" s="157">
        <f t="shared" si="2"/>
        <v>7.95</v>
      </c>
      <c r="O72" s="157" t="str">
        <f t="shared" si="14"/>
        <v/>
      </c>
      <c r="P72" s="158" t="str">
        <f t="shared" si="4"/>
        <v/>
      </c>
      <c r="Q72" s="157" t="str">
        <f t="shared" si="15"/>
        <v/>
      </c>
      <c r="R72" s="157" t="str">
        <f t="shared" si="16"/>
        <v/>
      </c>
    </row>
    <row r="73" spans="1:18" ht="25.5" x14ac:dyDescent="0.2">
      <c r="A73" s="243" t="s">
        <v>30</v>
      </c>
      <c r="B73" s="216" t="s">
        <v>289</v>
      </c>
      <c r="C73" s="243" t="str">
        <f>VLOOKUP(B73,INSUMOS!$A:$I,2,FALSE)</f>
        <v>Próprio</v>
      </c>
      <c r="D73" s="243" t="str">
        <f>VLOOKUP(B73,INSUMOS!$A:$I,3,FALSE)</f>
        <v>MÓDULO FOTOVOLTAICO 330 W / 72 OU 144 CÉLULAS / POLICRISTALINO</v>
      </c>
      <c r="E73" s="281" t="str">
        <f>VLOOKUP(B73,INSUMOS!$A:$I,4,FALSE)</f>
        <v>Equipamento</v>
      </c>
      <c r="F73" s="281"/>
      <c r="G73" s="215" t="str">
        <f>VLOOKUP(B73,INSUMOS!$A:$I,5,FALSE)</f>
        <v>UNIDADE</v>
      </c>
      <c r="H73" s="218">
        <v>1</v>
      </c>
      <c r="I73" s="217">
        <f>VLOOKUP(B73,INSUMOS!$A:$I,8,FALSE)</f>
        <v>699</v>
      </c>
      <c r="J73" s="217">
        <f>TRUNC(H73*I73,2)</f>
        <v>699</v>
      </c>
      <c r="L73" s="149">
        <f t="shared" si="0"/>
        <v>6</v>
      </c>
      <c r="M73" s="156">
        <f t="shared" si="1"/>
        <v>699</v>
      </c>
      <c r="N73" s="157" t="str">
        <f t="shared" si="2"/>
        <v/>
      </c>
      <c r="O73" s="157">
        <f t="shared" si="14"/>
        <v>699</v>
      </c>
      <c r="P73" s="158" t="str">
        <f t="shared" si="4"/>
        <v/>
      </c>
      <c r="Q73" s="157" t="str">
        <f t="shared" si="15"/>
        <v/>
      </c>
      <c r="R73" s="157" t="str">
        <f t="shared" si="16"/>
        <v/>
      </c>
    </row>
    <row r="74" spans="1:18" ht="14.25" customHeight="1" x14ac:dyDescent="0.2">
      <c r="A74" s="246"/>
      <c r="B74" s="246"/>
      <c r="C74" s="246"/>
      <c r="D74" s="246"/>
      <c r="E74" s="246"/>
      <c r="F74" s="222"/>
      <c r="G74" s="246"/>
      <c r="H74" s="222"/>
      <c r="I74" s="246"/>
      <c r="J74" s="222"/>
      <c r="L74" s="149">
        <f t="shared" si="0"/>
        <v>6</v>
      </c>
      <c r="M74" s="156" t="str">
        <f t="shared" si="1"/>
        <v/>
      </c>
      <c r="N74" s="157" t="str">
        <f t="shared" si="2"/>
        <v/>
      </c>
      <c r="O74" s="157" t="str">
        <f t="shared" si="14"/>
        <v/>
      </c>
      <c r="P74" s="158" t="str">
        <f t="shared" si="4"/>
        <v/>
      </c>
      <c r="Q74" s="157" t="str">
        <f t="shared" si="15"/>
        <v/>
      </c>
      <c r="R74" s="157" t="str">
        <f t="shared" si="16"/>
        <v/>
      </c>
    </row>
    <row r="75" spans="1:18" ht="14.25" customHeight="1" x14ac:dyDescent="0.2">
      <c r="A75" s="246"/>
      <c r="B75" s="246"/>
      <c r="C75" s="246"/>
      <c r="D75" s="246"/>
      <c r="E75" s="246"/>
      <c r="F75" s="222"/>
      <c r="G75" s="246"/>
      <c r="H75" s="282" t="s">
        <v>39</v>
      </c>
      <c r="I75" s="282"/>
      <c r="J75" s="222">
        <f>TRUNC(SUMIF(L:L,$L75,M:M)*(1+$J$10),2)</f>
        <v>812.16</v>
      </c>
      <c r="L75" s="149">
        <f t="shared" si="0"/>
        <v>6</v>
      </c>
      <c r="M75" s="156" t="str">
        <f t="shared" si="1"/>
        <v/>
      </c>
      <c r="N75" s="157" t="str">
        <f t="shared" si="2"/>
        <v/>
      </c>
      <c r="O75" s="157" t="str">
        <f t="shared" si="14"/>
        <v/>
      </c>
      <c r="P75" s="158" t="str">
        <f t="shared" si="4"/>
        <v/>
      </c>
      <c r="Q75" s="157" t="str">
        <f t="shared" si="15"/>
        <v/>
      </c>
      <c r="R75" s="157" t="str">
        <f t="shared" si="16"/>
        <v/>
      </c>
    </row>
    <row r="76" spans="1:18" ht="15" thickBot="1" x14ac:dyDescent="0.25">
      <c r="A76" s="219"/>
      <c r="B76" s="219"/>
      <c r="C76" s="219"/>
      <c r="D76" s="219"/>
      <c r="E76" s="219"/>
      <c r="F76" s="219"/>
      <c r="G76" s="219" t="s">
        <v>40</v>
      </c>
      <c r="H76" s="221">
        <v>208</v>
      </c>
      <c r="I76" s="219" t="s">
        <v>41</v>
      </c>
      <c r="J76" s="220">
        <f>TRUNC(J75*H76,2)</f>
        <v>168929.28</v>
      </c>
      <c r="L76" s="149">
        <f t="shared" si="0"/>
        <v>6</v>
      </c>
      <c r="M76" s="156" t="str">
        <f t="shared" si="1"/>
        <v/>
      </c>
      <c r="N76" s="157" t="str">
        <f t="shared" si="2"/>
        <v/>
      </c>
      <c r="O76" s="157" t="str">
        <f t="shared" si="14"/>
        <v/>
      </c>
      <c r="P76" s="158" t="str">
        <f t="shared" si="4"/>
        <v/>
      </c>
      <c r="Q76" s="157" t="str">
        <f t="shared" si="15"/>
        <v/>
      </c>
      <c r="R76" s="157" t="str">
        <f t="shared" si="16"/>
        <v/>
      </c>
    </row>
    <row r="77" spans="1:18" ht="15" thickTop="1" x14ac:dyDescent="0.2">
      <c r="A77" s="210"/>
      <c r="B77" s="210"/>
      <c r="C77" s="210"/>
      <c r="D77" s="210"/>
      <c r="E77" s="210"/>
      <c r="F77" s="210"/>
      <c r="G77" s="210"/>
      <c r="H77" s="210"/>
      <c r="I77" s="210"/>
      <c r="J77" s="210"/>
      <c r="L77" s="149">
        <f t="shared" si="0"/>
        <v>7</v>
      </c>
      <c r="M77" s="156" t="str">
        <f t="shared" si="1"/>
        <v/>
      </c>
      <c r="N77" s="157" t="str">
        <f t="shared" si="2"/>
        <v/>
      </c>
      <c r="O77" s="157" t="str">
        <f t="shared" si="14"/>
        <v/>
      </c>
      <c r="P77" s="158" t="str">
        <f t="shared" si="4"/>
        <v/>
      </c>
      <c r="Q77" s="157" t="str">
        <f t="shared" si="15"/>
        <v/>
      </c>
      <c r="R77" s="157" t="str">
        <f t="shared" si="16"/>
        <v/>
      </c>
    </row>
    <row r="78" spans="1:18" ht="25.5" customHeight="1" x14ac:dyDescent="0.2">
      <c r="A78" s="245" t="s">
        <v>441</v>
      </c>
      <c r="B78" s="203" t="s">
        <v>1</v>
      </c>
      <c r="C78" s="245" t="s">
        <v>2</v>
      </c>
      <c r="D78" s="245" t="s">
        <v>3</v>
      </c>
      <c r="E78" s="284" t="s">
        <v>17</v>
      </c>
      <c r="F78" s="284"/>
      <c r="G78" s="202" t="s">
        <v>4</v>
      </c>
      <c r="H78" s="203" t="s">
        <v>5</v>
      </c>
      <c r="I78" s="203" t="s">
        <v>6</v>
      </c>
      <c r="J78" s="203" t="s">
        <v>7</v>
      </c>
      <c r="L78" s="149">
        <f t="shared" si="0"/>
        <v>7</v>
      </c>
      <c r="M78" s="156" t="str">
        <f t="shared" si="1"/>
        <v/>
      </c>
      <c r="N78" s="157" t="str">
        <f t="shared" si="2"/>
        <v/>
      </c>
      <c r="O78" s="157" t="str">
        <f t="shared" si="14"/>
        <v/>
      </c>
      <c r="P78" s="158" t="str">
        <f t="shared" si="4"/>
        <v/>
      </c>
      <c r="Q78" s="157" t="str">
        <f t="shared" si="15"/>
        <v/>
      </c>
      <c r="R78" s="157" t="str">
        <f t="shared" si="16"/>
        <v/>
      </c>
    </row>
    <row r="79" spans="1:18" ht="25.5" customHeight="1" x14ac:dyDescent="0.2">
      <c r="A79" s="247" t="s">
        <v>18</v>
      </c>
      <c r="B79" s="207" t="s">
        <v>442</v>
      </c>
      <c r="C79" s="247" t="s">
        <v>11</v>
      </c>
      <c r="D79" s="247" t="s">
        <v>443</v>
      </c>
      <c r="E79" s="285" t="s">
        <v>268</v>
      </c>
      <c r="F79" s="285"/>
      <c r="G79" s="206" t="s">
        <v>291</v>
      </c>
      <c r="H79" s="209">
        <v>1</v>
      </c>
      <c r="I79" s="208">
        <f>SUMIF(L:L,$L79,M:M)</f>
        <v>28078.2</v>
      </c>
      <c r="J79" s="208">
        <f>TRUNC(H79*I79,2)</f>
        <v>28078.2</v>
      </c>
      <c r="L79" s="149">
        <f t="shared" ref="L79:L142" si="18">IF(AND(A80&lt;&gt;"",A79=""),L78+1,L78)</f>
        <v>7</v>
      </c>
      <c r="M79" s="156" t="str">
        <f t="shared" ref="M79:M142" si="19">IF(OR(A79="Insumo",A79="Composição Auxiliar"),J79,"")</f>
        <v/>
      </c>
      <c r="N79" s="157" t="str">
        <f t="shared" ref="N79:N142" si="20">IF(ISNUMBER(SEARCH("COM ENCARGOS COMPLEMENTARES",D79)),J79,"")</f>
        <v/>
      </c>
      <c r="O79" s="157" t="str">
        <f t="shared" si="14"/>
        <v/>
      </c>
      <c r="P79" s="158" t="str">
        <f t="shared" ref="P79:P142" si="21">IF(A79="Composição",A78,"")</f>
        <v xml:space="preserve"> 03.02 </v>
      </c>
      <c r="Q79" s="157">
        <f t="shared" si="15"/>
        <v>578.20000000000005</v>
      </c>
      <c r="R79" s="157">
        <f t="shared" si="16"/>
        <v>27500</v>
      </c>
    </row>
    <row r="80" spans="1:18" ht="25.5" customHeight="1" x14ac:dyDescent="0.2">
      <c r="A80" s="244" t="s">
        <v>20</v>
      </c>
      <c r="B80" s="212" t="s">
        <v>269</v>
      </c>
      <c r="C80" s="244" t="s">
        <v>8</v>
      </c>
      <c r="D80" s="244" t="s">
        <v>270</v>
      </c>
      <c r="E80" s="283" t="s">
        <v>26</v>
      </c>
      <c r="F80" s="283"/>
      <c r="G80" s="211" t="s">
        <v>27</v>
      </c>
      <c r="H80" s="214">
        <v>2</v>
      </c>
      <c r="I80" s="213">
        <f>SUMIFS('ANALÍTICA AUXILIARES'!J:J,'ANALÍTICA AUXILIARES'!A:A,"Composição",'ANALÍTICA AUXILIARES'!B:B,$B80)</f>
        <v>20.51</v>
      </c>
      <c r="J80" s="213">
        <f>TRUNC(H80*I80,2)</f>
        <v>41.02</v>
      </c>
      <c r="L80" s="149">
        <f t="shared" si="18"/>
        <v>7</v>
      </c>
      <c r="M80" s="156">
        <f t="shared" si="19"/>
        <v>41.02</v>
      </c>
      <c r="N80" s="157">
        <f t="shared" si="20"/>
        <v>41.02</v>
      </c>
      <c r="O80" s="157" t="str">
        <f t="shared" si="14"/>
        <v/>
      </c>
      <c r="P80" s="158" t="str">
        <f t="shared" si="21"/>
        <v/>
      </c>
      <c r="Q80" s="157" t="str">
        <f t="shared" si="15"/>
        <v/>
      </c>
      <c r="R80" s="157" t="str">
        <f t="shared" si="16"/>
        <v/>
      </c>
    </row>
    <row r="81" spans="1:18" ht="25.5" x14ac:dyDescent="0.2">
      <c r="A81" s="244" t="s">
        <v>20</v>
      </c>
      <c r="B81" s="212" t="s">
        <v>264</v>
      </c>
      <c r="C81" s="244" t="s">
        <v>8</v>
      </c>
      <c r="D81" s="244" t="s">
        <v>265</v>
      </c>
      <c r="E81" s="283" t="s">
        <v>26</v>
      </c>
      <c r="F81" s="283"/>
      <c r="G81" s="211" t="s">
        <v>27</v>
      </c>
      <c r="H81" s="214">
        <v>2</v>
      </c>
      <c r="I81" s="213">
        <f>SUMIFS('ANALÍTICA AUXILIARES'!J:J,'ANALÍTICA AUXILIARES'!A:A,"Composição",'ANALÍTICA AUXILIARES'!B:B,$B81)</f>
        <v>15.91</v>
      </c>
      <c r="J81" s="213">
        <f>TRUNC(H81*I81,2)</f>
        <v>31.82</v>
      </c>
      <c r="L81" s="149">
        <f t="shared" si="18"/>
        <v>7</v>
      </c>
      <c r="M81" s="156">
        <f t="shared" si="19"/>
        <v>31.82</v>
      </c>
      <c r="N81" s="157">
        <f t="shared" si="20"/>
        <v>31.82</v>
      </c>
      <c r="O81" s="157" t="str">
        <f t="shared" si="14"/>
        <v/>
      </c>
      <c r="P81" s="158" t="str">
        <f t="shared" si="21"/>
        <v/>
      </c>
      <c r="Q81" s="157" t="str">
        <f t="shared" si="15"/>
        <v/>
      </c>
      <c r="R81" s="157" t="str">
        <f t="shared" si="16"/>
        <v/>
      </c>
    </row>
    <row r="82" spans="1:18" ht="14.25" customHeight="1" x14ac:dyDescent="0.2">
      <c r="A82" s="244" t="s">
        <v>20</v>
      </c>
      <c r="B82" s="212" t="s">
        <v>275</v>
      </c>
      <c r="C82" s="244" t="s">
        <v>8</v>
      </c>
      <c r="D82" s="244" t="s">
        <v>276</v>
      </c>
      <c r="E82" s="283" t="s">
        <v>26</v>
      </c>
      <c r="F82" s="283"/>
      <c r="G82" s="211" t="s">
        <v>27</v>
      </c>
      <c r="H82" s="214">
        <v>4</v>
      </c>
      <c r="I82" s="213">
        <f>SUMIFS('ANALÍTICA AUXILIARES'!J:J,'ANALÍTICA AUXILIARES'!A:A,"Composição",'ANALÍTICA AUXILIARES'!B:B,$B82)</f>
        <v>126.34</v>
      </c>
      <c r="J82" s="213">
        <f>TRUNC(H82*I82,2)</f>
        <v>505.36</v>
      </c>
      <c r="L82" s="149">
        <f t="shared" si="18"/>
        <v>7</v>
      </c>
      <c r="M82" s="156">
        <f t="shared" si="19"/>
        <v>505.36</v>
      </c>
      <c r="N82" s="157">
        <f t="shared" si="20"/>
        <v>505.36</v>
      </c>
      <c r="O82" s="157" t="str">
        <f t="shared" si="14"/>
        <v/>
      </c>
      <c r="P82" s="158" t="str">
        <f t="shared" si="21"/>
        <v/>
      </c>
      <c r="Q82" s="157" t="str">
        <f t="shared" si="15"/>
        <v/>
      </c>
      <c r="R82" s="157" t="str">
        <f t="shared" si="16"/>
        <v/>
      </c>
    </row>
    <row r="83" spans="1:18" ht="25.5" x14ac:dyDescent="0.2">
      <c r="A83" s="243" t="s">
        <v>30</v>
      </c>
      <c r="B83" s="216" t="s">
        <v>292</v>
      </c>
      <c r="C83" s="243" t="str">
        <f>VLOOKUP(B83,INSUMOS!$A:$I,2,FALSE)</f>
        <v>Próprio</v>
      </c>
      <c r="D83" s="243" t="str">
        <f>VLOOKUP(B83,INSUMOS!$A:$I,3,FALSE)</f>
        <v>INVERSOR TRIFÁSICO SOLAR DE 30 kW</v>
      </c>
      <c r="E83" s="281" t="str">
        <f>VLOOKUP(B83,INSUMOS!$A:$I,4,FALSE)</f>
        <v>Equipamento</v>
      </c>
      <c r="F83" s="281"/>
      <c r="G83" s="215" t="str">
        <f>VLOOKUP(B83,INSUMOS!$A:$I,5,FALSE)</f>
        <v>UNIDADE</v>
      </c>
      <c r="H83" s="218">
        <v>1</v>
      </c>
      <c r="I83" s="217">
        <f>VLOOKUP(B83,INSUMOS!$A:$I,8,FALSE)</f>
        <v>27500</v>
      </c>
      <c r="J83" s="217">
        <f>TRUNC(H83*I83,2)</f>
        <v>27500</v>
      </c>
      <c r="L83" s="149">
        <f t="shared" si="18"/>
        <v>7</v>
      </c>
      <c r="M83" s="156">
        <f t="shared" si="19"/>
        <v>27500</v>
      </c>
      <c r="N83" s="157" t="str">
        <f t="shared" si="20"/>
        <v/>
      </c>
      <c r="O83" s="157">
        <f t="shared" si="14"/>
        <v>27500</v>
      </c>
      <c r="P83" s="158" t="str">
        <f t="shared" si="21"/>
        <v/>
      </c>
      <c r="Q83" s="157" t="str">
        <f t="shared" si="15"/>
        <v/>
      </c>
      <c r="R83" s="157" t="str">
        <f t="shared" si="16"/>
        <v/>
      </c>
    </row>
    <row r="84" spans="1:18" x14ac:dyDescent="0.2">
      <c r="A84" s="246"/>
      <c r="B84" s="246"/>
      <c r="C84" s="246"/>
      <c r="D84" s="246"/>
      <c r="E84" s="246"/>
      <c r="F84" s="222"/>
      <c r="G84" s="246"/>
      <c r="H84" s="222"/>
      <c r="I84" s="246"/>
      <c r="J84" s="222"/>
      <c r="L84" s="149">
        <f t="shared" si="18"/>
        <v>7</v>
      </c>
      <c r="M84" s="156" t="str">
        <f t="shared" si="19"/>
        <v/>
      </c>
      <c r="N84" s="157" t="str">
        <f t="shared" si="20"/>
        <v/>
      </c>
      <c r="O84" s="157" t="str">
        <f t="shared" si="14"/>
        <v/>
      </c>
      <c r="P84" s="158" t="str">
        <f t="shared" si="21"/>
        <v/>
      </c>
      <c r="Q84" s="157" t="str">
        <f t="shared" si="15"/>
        <v/>
      </c>
      <c r="R84" s="157" t="str">
        <f t="shared" si="16"/>
        <v/>
      </c>
    </row>
    <row r="85" spans="1:18" ht="14.25" customHeight="1" x14ac:dyDescent="0.2">
      <c r="A85" s="246"/>
      <c r="B85" s="246"/>
      <c r="C85" s="246"/>
      <c r="D85" s="246"/>
      <c r="E85" s="246"/>
      <c r="F85" s="222"/>
      <c r="G85" s="246"/>
      <c r="H85" s="282" t="s">
        <v>39</v>
      </c>
      <c r="I85" s="282"/>
      <c r="J85" s="222">
        <f>TRUNC(SUMIF(L:L,$L85,M:M)*(1+$J$10),2)</f>
        <v>31796.1</v>
      </c>
      <c r="L85" s="149">
        <f t="shared" si="18"/>
        <v>7</v>
      </c>
      <c r="M85" s="156" t="str">
        <f t="shared" si="19"/>
        <v/>
      </c>
      <c r="N85" s="157" t="str">
        <f t="shared" si="20"/>
        <v/>
      </c>
      <c r="O85" s="157" t="str">
        <f t="shared" si="14"/>
        <v/>
      </c>
      <c r="P85" s="158" t="str">
        <f t="shared" si="21"/>
        <v/>
      </c>
      <c r="Q85" s="157" t="str">
        <f t="shared" si="15"/>
        <v/>
      </c>
      <c r="R85" s="157" t="str">
        <f t="shared" si="16"/>
        <v/>
      </c>
    </row>
    <row r="86" spans="1:18" ht="15" thickBot="1" x14ac:dyDescent="0.25">
      <c r="A86" s="219"/>
      <c r="B86" s="219"/>
      <c r="C86" s="219"/>
      <c r="D86" s="219"/>
      <c r="E86" s="219"/>
      <c r="F86" s="219"/>
      <c r="G86" s="219" t="s">
        <v>40</v>
      </c>
      <c r="H86" s="221">
        <v>2</v>
      </c>
      <c r="I86" s="219" t="s">
        <v>41</v>
      </c>
      <c r="J86" s="220">
        <f>TRUNC(J85*H86,2)</f>
        <v>63592.2</v>
      </c>
      <c r="L86" s="149">
        <f t="shared" si="18"/>
        <v>7</v>
      </c>
      <c r="M86" s="156" t="str">
        <f t="shared" si="19"/>
        <v/>
      </c>
      <c r="N86" s="157" t="str">
        <f t="shared" si="20"/>
        <v/>
      </c>
      <c r="O86" s="157" t="str">
        <f t="shared" si="14"/>
        <v/>
      </c>
      <c r="P86" s="158" t="str">
        <f t="shared" si="21"/>
        <v/>
      </c>
      <c r="Q86" s="157" t="str">
        <f t="shared" si="15"/>
        <v/>
      </c>
      <c r="R86" s="157" t="str">
        <f t="shared" si="16"/>
        <v/>
      </c>
    </row>
    <row r="87" spans="1:18" ht="15" thickTop="1" x14ac:dyDescent="0.2">
      <c r="A87" s="210"/>
      <c r="B87" s="210"/>
      <c r="C87" s="210"/>
      <c r="D87" s="210"/>
      <c r="E87" s="210"/>
      <c r="F87" s="210"/>
      <c r="G87" s="210"/>
      <c r="H87" s="210"/>
      <c r="I87" s="210"/>
      <c r="J87" s="210"/>
      <c r="L87" s="149">
        <f t="shared" si="18"/>
        <v>8</v>
      </c>
      <c r="M87" s="156" t="str">
        <f t="shared" si="19"/>
        <v/>
      </c>
      <c r="N87" s="157" t="str">
        <f t="shared" si="20"/>
        <v/>
      </c>
      <c r="O87" s="157" t="str">
        <f t="shared" si="14"/>
        <v/>
      </c>
      <c r="P87" s="158" t="str">
        <f t="shared" si="21"/>
        <v/>
      </c>
      <c r="Q87" s="157" t="str">
        <f t="shared" si="15"/>
        <v/>
      </c>
      <c r="R87" s="157" t="str">
        <f t="shared" si="16"/>
        <v/>
      </c>
    </row>
    <row r="88" spans="1:18" ht="15" x14ac:dyDescent="0.2">
      <c r="A88" s="245" t="s">
        <v>444</v>
      </c>
      <c r="B88" s="203" t="s">
        <v>1</v>
      </c>
      <c r="C88" s="245" t="s">
        <v>2</v>
      </c>
      <c r="D88" s="245" t="s">
        <v>3</v>
      </c>
      <c r="E88" s="284" t="s">
        <v>17</v>
      </c>
      <c r="F88" s="284"/>
      <c r="G88" s="202" t="s">
        <v>4</v>
      </c>
      <c r="H88" s="203" t="s">
        <v>5</v>
      </c>
      <c r="I88" s="203" t="s">
        <v>6</v>
      </c>
      <c r="J88" s="203" t="s">
        <v>7</v>
      </c>
      <c r="L88" s="149">
        <f t="shared" si="18"/>
        <v>8</v>
      </c>
      <c r="M88" s="156" t="str">
        <f t="shared" si="19"/>
        <v/>
      </c>
      <c r="N88" s="157" t="str">
        <f t="shared" si="20"/>
        <v/>
      </c>
      <c r="O88" s="157" t="str">
        <f t="shared" si="14"/>
        <v/>
      </c>
      <c r="P88" s="158" t="str">
        <f t="shared" si="21"/>
        <v/>
      </c>
      <c r="Q88" s="157" t="str">
        <f t="shared" si="15"/>
        <v/>
      </c>
      <c r="R88" s="157" t="str">
        <f t="shared" si="16"/>
        <v/>
      </c>
    </row>
    <row r="89" spans="1:18" ht="25.5" customHeight="1" x14ac:dyDescent="0.2">
      <c r="A89" s="247" t="s">
        <v>18</v>
      </c>
      <c r="B89" s="207" t="s">
        <v>445</v>
      </c>
      <c r="C89" s="247" t="s">
        <v>11</v>
      </c>
      <c r="D89" s="247" t="s">
        <v>446</v>
      </c>
      <c r="E89" s="285" t="s">
        <v>268</v>
      </c>
      <c r="F89" s="285"/>
      <c r="G89" s="206" t="s">
        <v>291</v>
      </c>
      <c r="H89" s="209">
        <v>1</v>
      </c>
      <c r="I89" s="208">
        <f>SUMIF(L:L,$L89,M:M)</f>
        <v>935.42</v>
      </c>
      <c r="J89" s="208">
        <f>TRUNC(H89*I89,2)</f>
        <v>935.42</v>
      </c>
      <c r="L89" s="149">
        <f t="shared" si="18"/>
        <v>8</v>
      </c>
      <c r="M89" s="156" t="str">
        <f t="shared" si="19"/>
        <v/>
      </c>
      <c r="N89" s="157" t="str">
        <f t="shared" si="20"/>
        <v/>
      </c>
      <c r="O89" s="157" t="str">
        <f t="shared" si="14"/>
        <v/>
      </c>
      <c r="P89" s="158" t="str">
        <f t="shared" si="21"/>
        <v xml:space="preserve"> 03.03 </v>
      </c>
      <c r="Q89" s="157">
        <f t="shared" si="15"/>
        <v>36.42</v>
      </c>
      <c r="R89" s="157">
        <f t="shared" si="16"/>
        <v>899</v>
      </c>
    </row>
    <row r="90" spans="1:18" ht="25.5" x14ac:dyDescent="0.2">
      <c r="A90" s="244" t="s">
        <v>20</v>
      </c>
      <c r="B90" s="212" t="s">
        <v>269</v>
      </c>
      <c r="C90" s="244" t="s">
        <v>8</v>
      </c>
      <c r="D90" s="244" t="s">
        <v>270</v>
      </c>
      <c r="E90" s="283" t="s">
        <v>26</v>
      </c>
      <c r="F90" s="283"/>
      <c r="G90" s="211" t="s">
        <v>27</v>
      </c>
      <c r="H90" s="214">
        <v>1</v>
      </c>
      <c r="I90" s="213">
        <f>SUMIFS('ANALÍTICA AUXILIARES'!J:J,'ANALÍTICA AUXILIARES'!A:A,"Composição",'ANALÍTICA AUXILIARES'!B:B,$B90)</f>
        <v>20.51</v>
      </c>
      <c r="J90" s="213">
        <f>TRUNC(H90*I90,2)</f>
        <v>20.51</v>
      </c>
      <c r="L90" s="149">
        <f t="shared" si="18"/>
        <v>8</v>
      </c>
      <c r="M90" s="156">
        <f t="shared" si="19"/>
        <v>20.51</v>
      </c>
      <c r="N90" s="157">
        <f t="shared" si="20"/>
        <v>20.51</v>
      </c>
      <c r="O90" s="157" t="str">
        <f t="shared" si="14"/>
        <v/>
      </c>
      <c r="P90" s="158" t="str">
        <f t="shared" si="21"/>
        <v/>
      </c>
      <c r="Q90" s="157" t="str">
        <f t="shared" si="15"/>
        <v/>
      </c>
      <c r="R90" s="157" t="str">
        <f t="shared" si="16"/>
        <v/>
      </c>
    </row>
    <row r="91" spans="1:18" ht="14.25" customHeight="1" x14ac:dyDescent="0.2">
      <c r="A91" s="244" t="s">
        <v>20</v>
      </c>
      <c r="B91" s="212" t="s">
        <v>264</v>
      </c>
      <c r="C91" s="244" t="s">
        <v>8</v>
      </c>
      <c r="D91" s="244" t="s">
        <v>265</v>
      </c>
      <c r="E91" s="283" t="s">
        <v>26</v>
      </c>
      <c r="F91" s="283"/>
      <c r="G91" s="211" t="s">
        <v>27</v>
      </c>
      <c r="H91" s="214">
        <v>1</v>
      </c>
      <c r="I91" s="213">
        <f>SUMIFS('ANALÍTICA AUXILIARES'!J:J,'ANALÍTICA AUXILIARES'!A:A,"Composição",'ANALÍTICA AUXILIARES'!B:B,$B91)</f>
        <v>15.91</v>
      </c>
      <c r="J91" s="213">
        <f>TRUNC(H91*I91,2)</f>
        <v>15.91</v>
      </c>
      <c r="L91" s="149">
        <f t="shared" si="18"/>
        <v>8</v>
      </c>
      <c r="M91" s="156">
        <f t="shared" si="19"/>
        <v>15.91</v>
      </c>
      <c r="N91" s="157">
        <f t="shared" si="20"/>
        <v>15.91</v>
      </c>
      <c r="O91" s="157" t="str">
        <f t="shared" si="14"/>
        <v/>
      </c>
      <c r="P91" s="158" t="str">
        <f t="shared" si="21"/>
        <v/>
      </c>
      <c r="Q91" s="157" t="str">
        <f t="shared" si="15"/>
        <v/>
      </c>
      <c r="R91" s="157" t="str">
        <f t="shared" si="16"/>
        <v/>
      </c>
    </row>
    <row r="92" spans="1:18" ht="25.5" customHeight="1" x14ac:dyDescent="0.2">
      <c r="A92" s="243" t="s">
        <v>30</v>
      </c>
      <c r="B92" s="216" t="s">
        <v>301</v>
      </c>
      <c r="C92" s="243" t="str">
        <f>VLOOKUP(B92,INSUMOS!$A:$I,2,FALSE)</f>
        <v>Próprio</v>
      </c>
      <c r="D92" s="243" t="str">
        <f>VLOOKUP(B92,INSUMOS!$A:$I,3,FALSE)</f>
        <v>STRING-BOX 2 ENTRADAS E 2 SAÍDAS COM DPS E SECCIONADORA</v>
      </c>
      <c r="E92" s="281" t="str">
        <f>VLOOKUP(B92,INSUMOS!$A:$I,4,FALSE)</f>
        <v>Equipamento</v>
      </c>
      <c r="F92" s="281"/>
      <c r="G92" s="215" t="str">
        <f>VLOOKUP(B92,INSUMOS!$A:$I,5,FALSE)</f>
        <v>UNIDADE</v>
      </c>
      <c r="H92" s="218">
        <v>1</v>
      </c>
      <c r="I92" s="217">
        <f>VLOOKUP(B92,INSUMOS!$A:$I,8,FALSE)</f>
        <v>899</v>
      </c>
      <c r="J92" s="217">
        <f>TRUNC(H92*I92,2)</f>
        <v>899</v>
      </c>
      <c r="L92" s="149">
        <f t="shared" si="18"/>
        <v>8</v>
      </c>
      <c r="M92" s="156">
        <f t="shared" si="19"/>
        <v>899</v>
      </c>
      <c r="N92" s="157" t="str">
        <f t="shared" si="20"/>
        <v/>
      </c>
      <c r="O92" s="157">
        <f t="shared" si="14"/>
        <v>899</v>
      </c>
      <c r="P92" s="158" t="str">
        <f t="shared" si="21"/>
        <v/>
      </c>
      <c r="Q92" s="157" t="str">
        <f t="shared" si="15"/>
        <v/>
      </c>
      <c r="R92" s="157" t="str">
        <f t="shared" si="16"/>
        <v/>
      </c>
    </row>
    <row r="93" spans="1:18" x14ac:dyDescent="0.2">
      <c r="A93" s="246"/>
      <c r="B93" s="246"/>
      <c r="C93" s="246"/>
      <c r="D93" s="246"/>
      <c r="E93" s="246"/>
      <c r="F93" s="222"/>
      <c r="G93" s="246"/>
      <c r="H93" s="222"/>
      <c r="I93" s="246"/>
      <c r="J93" s="222"/>
      <c r="L93" s="149">
        <f t="shared" si="18"/>
        <v>8</v>
      </c>
      <c r="M93" s="156" t="str">
        <f t="shared" si="19"/>
        <v/>
      </c>
      <c r="N93" s="157" t="str">
        <f t="shared" si="20"/>
        <v/>
      </c>
      <c r="O93" s="157" t="str">
        <f t="shared" si="14"/>
        <v/>
      </c>
      <c r="P93" s="158" t="str">
        <f t="shared" si="21"/>
        <v/>
      </c>
      <c r="Q93" s="157" t="str">
        <f t="shared" si="15"/>
        <v/>
      </c>
      <c r="R93" s="157" t="str">
        <f t="shared" si="16"/>
        <v/>
      </c>
    </row>
    <row r="94" spans="1:18" ht="14.25" customHeight="1" x14ac:dyDescent="0.2">
      <c r="A94" s="246"/>
      <c r="B94" s="246"/>
      <c r="C94" s="246"/>
      <c r="D94" s="246"/>
      <c r="E94" s="246"/>
      <c r="F94" s="222"/>
      <c r="G94" s="246"/>
      <c r="H94" s="282" t="s">
        <v>39</v>
      </c>
      <c r="I94" s="282"/>
      <c r="J94" s="222">
        <f>TRUNC(SUMIF(L:L,$L94,M:M)*(1+$J$10),2)</f>
        <v>1059.28</v>
      </c>
      <c r="L94" s="149">
        <f t="shared" si="18"/>
        <v>8</v>
      </c>
      <c r="M94" s="156" t="str">
        <f t="shared" si="19"/>
        <v/>
      </c>
      <c r="N94" s="157" t="str">
        <f t="shared" si="20"/>
        <v/>
      </c>
      <c r="O94" s="157" t="str">
        <f t="shared" si="14"/>
        <v/>
      </c>
      <c r="P94" s="158" t="str">
        <f t="shared" si="21"/>
        <v/>
      </c>
      <c r="Q94" s="157" t="str">
        <f t="shared" si="15"/>
        <v/>
      </c>
      <c r="R94" s="157" t="str">
        <f t="shared" si="16"/>
        <v/>
      </c>
    </row>
    <row r="95" spans="1:18" ht="14.25" customHeight="1" thickBot="1" x14ac:dyDescent="0.25">
      <c r="A95" s="219"/>
      <c r="B95" s="219"/>
      <c r="C95" s="219"/>
      <c r="D95" s="219"/>
      <c r="E95" s="219"/>
      <c r="F95" s="219"/>
      <c r="G95" s="219" t="s">
        <v>40</v>
      </c>
      <c r="H95" s="221">
        <v>8</v>
      </c>
      <c r="I95" s="219" t="s">
        <v>41</v>
      </c>
      <c r="J95" s="220">
        <f>TRUNC(J94*H95,2)</f>
        <v>8474.24</v>
      </c>
      <c r="L95" s="149">
        <f t="shared" si="18"/>
        <v>8</v>
      </c>
      <c r="M95" s="156" t="str">
        <f t="shared" si="19"/>
        <v/>
      </c>
      <c r="N95" s="157" t="str">
        <f t="shared" si="20"/>
        <v/>
      </c>
      <c r="O95" s="157" t="str">
        <f t="shared" si="14"/>
        <v/>
      </c>
      <c r="P95" s="158" t="str">
        <f t="shared" si="21"/>
        <v/>
      </c>
      <c r="Q95" s="157" t="str">
        <f t="shared" si="15"/>
        <v/>
      </c>
      <c r="R95" s="157" t="str">
        <f t="shared" si="16"/>
        <v/>
      </c>
    </row>
    <row r="96" spans="1:18" ht="14.25" customHeight="1" thickTop="1" x14ac:dyDescent="0.2">
      <c r="A96" s="210"/>
      <c r="B96" s="210"/>
      <c r="C96" s="210"/>
      <c r="D96" s="210"/>
      <c r="E96" s="210"/>
      <c r="F96" s="210"/>
      <c r="G96" s="210"/>
      <c r="H96" s="210"/>
      <c r="I96" s="210"/>
      <c r="J96" s="210"/>
      <c r="L96" s="149">
        <f t="shared" si="18"/>
        <v>9</v>
      </c>
      <c r="M96" s="156" t="str">
        <f t="shared" si="19"/>
        <v/>
      </c>
      <c r="N96" s="157" t="str">
        <f t="shared" si="20"/>
        <v/>
      </c>
      <c r="O96" s="157" t="str">
        <f t="shared" si="14"/>
        <v/>
      </c>
      <c r="P96" s="158" t="str">
        <f t="shared" si="21"/>
        <v/>
      </c>
      <c r="Q96" s="157" t="str">
        <f t="shared" si="15"/>
        <v/>
      </c>
      <c r="R96" s="157" t="str">
        <f t="shared" si="16"/>
        <v/>
      </c>
    </row>
    <row r="97" spans="1:18" x14ac:dyDescent="0.2">
      <c r="A97" s="249" t="s">
        <v>447</v>
      </c>
      <c r="B97" s="249"/>
      <c r="C97" s="249"/>
      <c r="D97" s="249" t="s">
        <v>278</v>
      </c>
      <c r="E97" s="249"/>
      <c r="F97" s="286"/>
      <c r="G97" s="286"/>
      <c r="H97" s="204"/>
      <c r="I97" s="249"/>
      <c r="J97" s="205"/>
      <c r="L97" s="149">
        <f t="shared" si="18"/>
        <v>9</v>
      </c>
      <c r="M97" s="156" t="str">
        <f t="shared" si="19"/>
        <v/>
      </c>
      <c r="N97" s="157" t="str">
        <f t="shared" si="20"/>
        <v/>
      </c>
      <c r="O97" s="157" t="str">
        <f t="shared" si="14"/>
        <v/>
      </c>
      <c r="P97" s="158" t="str">
        <f t="shared" si="21"/>
        <v/>
      </c>
      <c r="Q97" s="157" t="str">
        <f t="shared" si="15"/>
        <v/>
      </c>
      <c r="R97" s="157" t="str">
        <f t="shared" si="16"/>
        <v/>
      </c>
    </row>
    <row r="98" spans="1:18" ht="25.5" customHeight="1" x14ac:dyDescent="0.2">
      <c r="A98" s="249" t="s">
        <v>448</v>
      </c>
      <c r="B98" s="249"/>
      <c r="C98" s="249"/>
      <c r="D98" s="249" t="s">
        <v>281</v>
      </c>
      <c r="E98" s="249"/>
      <c r="F98" s="286"/>
      <c r="G98" s="286"/>
      <c r="H98" s="204"/>
      <c r="I98" s="249"/>
      <c r="J98" s="205"/>
      <c r="L98" s="149">
        <f t="shared" si="18"/>
        <v>9</v>
      </c>
      <c r="M98" s="156" t="str">
        <f t="shared" si="19"/>
        <v/>
      </c>
      <c r="N98" s="157" t="str">
        <f t="shared" si="20"/>
        <v/>
      </c>
      <c r="O98" s="157" t="str">
        <f t="shared" si="14"/>
        <v/>
      </c>
      <c r="P98" s="158" t="str">
        <f t="shared" si="21"/>
        <v/>
      </c>
      <c r="Q98" s="157" t="str">
        <f t="shared" si="15"/>
        <v/>
      </c>
      <c r="R98" s="157" t="str">
        <f t="shared" si="16"/>
        <v/>
      </c>
    </row>
    <row r="99" spans="1:18" ht="25.5" customHeight="1" x14ac:dyDescent="0.2">
      <c r="A99" s="245" t="s">
        <v>449</v>
      </c>
      <c r="B99" s="203" t="s">
        <v>1</v>
      </c>
      <c r="C99" s="245" t="s">
        <v>2</v>
      </c>
      <c r="D99" s="245" t="s">
        <v>3</v>
      </c>
      <c r="E99" s="284" t="s">
        <v>17</v>
      </c>
      <c r="F99" s="284"/>
      <c r="G99" s="202" t="s">
        <v>4</v>
      </c>
      <c r="H99" s="203" t="s">
        <v>5</v>
      </c>
      <c r="I99" s="203" t="s">
        <v>6</v>
      </c>
      <c r="J99" s="203" t="s">
        <v>7</v>
      </c>
      <c r="L99" s="149">
        <f t="shared" si="18"/>
        <v>9</v>
      </c>
      <c r="M99" s="156" t="str">
        <f t="shared" si="19"/>
        <v/>
      </c>
      <c r="N99" s="157" t="str">
        <f t="shared" si="20"/>
        <v/>
      </c>
      <c r="O99" s="157" t="str">
        <f t="shared" si="14"/>
        <v/>
      </c>
      <c r="P99" s="158" t="str">
        <f t="shared" si="21"/>
        <v/>
      </c>
      <c r="Q99" s="157" t="str">
        <f t="shared" si="15"/>
        <v/>
      </c>
      <c r="R99" s="157" t="str">
        <f t="shared" si="16"/>
        <v/>
      </c>
    </row>
    <row r="100" spans="1:18" ht="25.5" customHeight="1" x14ac:dyDescent="0.2">
      <c r="A100" s="247" t="s">
        <v>18</v>
      </c>
      <c r="B100" s="207" t="s">
        <v>450</v>
      </c>
      <c r="C100" s="247" t="s">
        <v>11</v>
      </c>
      <c r="D100" s="247" t="s">
        <v>451</v>
      </c>
      <c r="E100" s="285" t="s">
        <v>268</v>
      </c>
      <c r="F100" s="285"/>
      <c r="G100" s="206" t="s">
        <v>298</v>
      </c>
      <c r="H100" s="209">
        <v>1</v>
      </c>
      <c r="I100" s="208">
        <f>SUMIF(L:L,$L100,M:M)</f>
        <v>15.460000000000003</v>
      </c>
      <c r="J100" s="208">
        <f t="shared" ref="J100:J105" si="22">TRUNC(H100*I100,2)</f>
        <v>15.46</v>
      </c>
      <c r="L100" s="149">
        <f t="shared" si="18"/>
        <v>9</v>
      </c>
      <c r="M100" s="156" t="str">
        <f t="shared" si="19"/>
        <v/>
      </c>
      <c r="N100" s="157" t="str">
        <f t="shared" si="20"/>
        <v/>
      </c>
      <c r="O100" s="157" t="str">
        <f t="shared" si="14"/>
        <v/>
      </c>
      <c r="P100" s="158" t="str">
        <f t="shared" si="21"/>
        <v xml:space="preserve"> 04.01.01 </v>
      </c>
      <c r="Q100" s="157">
        <f t="shared" si="15"/>
        <v>10.260000000000002</v>
      </c>
      <c r="R100" s="157">
        <f t="shared" si="16"/>
        <v>5.2</v>
      </c>
    </row>
    <row r="101" spans="1:18" ht="25.5" customHeight="1" x14ac:dyDescent="0.2">
      <c r="A101" s="244" t="s">
        <v>20</v>
      </c>
      <c r="B101" s="212" t="s">
        <v>269</v>
      </c>
      <c r="C101" s="244" t="s">
        <v>8</v>
      </c>
      <c r="D101" s="244" t="s">
        <v>270</v>
      </c>
      <c r="E101" s="283" t="s">
        <v>26</v>
      </c>
      <c r="F101" s="283"/>
      <c r="G101" s="211" t="s">
        <v>27</v>
      </c>
      <c r="H101" s="214">
        <v>0.28210000000000002</v>
      </c>
      <c r="I101" s="213">
        <f>SUMIFS('ANALÍTICA AUXILIARES'!J:J,'ANALÍTICA AUXILIARES'!A:A,"Composição",'ANALÍTICA AUXILIARES'!B:B,$B101)</f>
        <v>20.51</v>
      </c>
      <c r="J101" s="213">
        <f t="shared" si="22"/>
        <v>5.78</v>
      </c>
      <c r="L101" s="149">
        <f t="shared" si="18"/>
        <v>9</v>
      </c>
      <c r="M101" s="156">
        <f t="shared" si="19"/>
        <v>5.78</v>
      </c>
      <c r="N101" s="157">
        <f t="shared" si="20"/>
        <v>5.78</v>
      </c>
      <c r="O101" s="157" t="str">
        <f t="shared" ref="O101:O164" si="23">IF(N101&lt;&gt;"","",M101)</f>
        <v/>
      </c>
      <c r="P101" s="158" t="str">
        <f t="shared" si="21"/>
        <v/>
      </c>
      <c r="Q101" s="157" t="str">
        <f t="shared" ref="Q101:Q164" si="24">IF(P101&lt;&gt;"",SUMIF(L101:L201,L101,N101:N201),"")</f>
        <v/>
      </c>
      <c r="R101" s="157" t="str">
        <f t="shared" ref="R101:R164" si="25">IF(P101&lt;&gt;"",SUMIF(L101:L201,L101,O101:O201),"")</f>
        <v/>
      </c>
    </row>
    <row r="102" spans="1:18" ht="25.5" customHeight="1" x14ac:dyDescent="0.2">
      <c r="A102" s="244" t="s">
        <v>20</v>
      </c>
      <c r="B102" s="212" t="s">
        <v>264</v>
      </c>
      <c r="C102" s="244" t="s">
        <v>8</v>
      </c>
      <c r="D102" s="244" t="s">
        <v>265</v>
      </c>
      <c r="E102" s="283" t="s">
        <v>26</v>
      </c>
      <c r="F102" s="283"/>
      <c r="G102" s="211" t="s">
        <v>27</v>
      </c>
      <c r="H102" s="214">
        <v>0.28210000000000002</v>
      </c>
      <c r="I102" s="213">
        <f>SUMIFS('ANALÍTICA AUXILIARES'!J:J,'ANALÍTICA AUXILIARES'!A:A,"Composição",'ANALÍTICA AUXILIARES'!B:B,$B102)</f>
        <v>15.91</v>
      </c>
      <c r="J102" s="213">
        <f t="shared" si="22"/>
        <v>4.4800000000000004</v>
      </c>
      <c r="L102" s="149">
        <f t="shared" si="18"/>
        <v>9</v>
      </c>
      <c r="M102" s="156">
        <f t="shared" si="19"/>
        <v>4.4800000000000004</v>
      </c>
      <c r="N102" s="157">
        <f t="shared" si="20"/>
        <v>4.4800000000000004</v>
      </c>
      <c r="O102" s="157" t="str">
        <f t="shared" si="23"/>
        <v/>
      </c>
      <c r="P102" s="158" t="str">
        <f t="shared" si="21"/>
        <v/>
      </c>
      <c r="Q102" s="157" t="str">
        <f t="shared" si="24"/>
        <v/>
      </c>
      <c r="R102" s="157" t="str">
        <f t="shared" si="25"/>
        <v/>
      </c>
    </row>
    <row r="103" spans="1:18" ht="14.25" customHeight="1" x14ac:dyDescent="0.2">
      <c r="A103" s="243" t="s">
        <v>30</v>
      </c>
      <c r="B103" s="216" t="s">
        <v>364</v>
      </c>
      <c r="C103" s="243" t="str">
        <f>VLOOKUP(B103,INSUMOS!$A:$I,2,FALSE)</f>
        <v>SINAPI</v>
      </c>
      <c r="D103" s="243" t="str">
        <f>VLOOKUP(B103,INSUMOS!$A:$I,3,FALSE)</f>
        <v>ABRACADEIRA EM ACO PARA AMARRACAO DE ELETRODUTOS, TIPO D, COM 2" E CUNHA DE FIXACAO</v>
      </c>
      <c r="E103" s="281" t="str">
        <f>VLOOKUP(B103,INSUMOS!$A:$I,4,FALSE)</f>
        <v>Material</v>
      </c>
      <c r="F103" s="281"/>
      <c r="G103" s="215" t="str">
        <f>VLOOKUP(B103,INSUMOS!$A:$I,5,FALSE)</f>
        <v>UN</v>
      </c>
      <c r="H103" s="218">
        <v>0.5</v>
      </c>
      <c r="I103" s="217">
        <f>VLOOKUP(B103,INSUMOS!$A:$I,8,FALSE)</f>
        <v>1.96</v>
      </c>
      <c r="J103" s="217">
        <f t="shared" si="22"/>
        <v>0.98</v>
      </c>
      <c r="L103" s="149">
        <f t="shared" si="18"/>
        <v>9</v>
      </c>
      <c r="M103" s="156">
        <f t="shared" si="19"/>
        <v>0.98</v>
      </c>
      <c r="N103" s="157" t="str">
        <f t="shared" si="20"/>
        <v/>
      </c>
      <c r="O103" s="157">
        <f t="shared" si="23"/>
        <v>0.98</v>
      </c>
      <c r="P103" s="158" t="str">
        <f t="shared" si="21"/>
        <v/>
      </c>
      <c r="Q103" s="157" t="str">
        <f t="shared" si="24"/>
        <v/>
      </c>
      <c r="R103" s="157" t="str">
        <f t="shared" si="25"/>
        <v/>
      </c>
    </row>
    <row r="104" spans="1:18" ht="14.25" customHeight="1" x14ac:dyDescent="0.2">
      <c r="A104" s="243" t="s">
        <v>30</v>
      </c>
      <c r="B104" s="216" t="s">
        <v>354</v>
      </c>
      <c r="C104" s="243" t="str">
        <f>VLOOKUP(B104,INSUMOS!$A:$I,2,FALSE)</f>
        <v>SINAPI</v>
      </c>
      <c r="D104" s="243" t="str">
        <f>VLOOKUP(B104,INSUMOS!$A:$I,3,FALSE)</f>
        <v>BLOCO CONCRETO ESTRUTURAL 19 X 19 X 39 CM, FBK 10 MPA (NBR 6136)</v>
      </c>
      <c r="E104" s="281" t="str">
        <f>VLOOKUP(B104,INSUMOS!$A:$I,4,FALSE)</f>
        <v>Material</v>
      </c>
      <c r="F104" s="281"/>
      <c r="G104" s="215" t="str">
        <f>VLOOKUP(B104,INSUMOS!$A:$I,5,FALSE)</f>
        <v>UN</v>
      </c>
      <c r="H104" s="218">
        <v>0.5</v>
      </c>
      <c r="I104" s="217">
        <f>VLOOKUP(B104,INSUMOS!$A:$I,8,FALSE)</f>
        <v>3.79</v>
      </c>
      <c r="J104" s="217">
        <f t="shared" si="22"/>
        <v>1.89</v>
      </c>
      <c r="L104" s="149">
        <f t="shared" si="18"/>
        <v>9</v>
      </c>
      <c r="M104" s="156">
        <f t="shared" si="19"/>
        <v>1.89</v>
      </c>
      <c r="N104" s="157" t="str">
        <f t="shared" si="20"/>
        <v/>
      </c>
      <c r="O104" s="157">
        <f t="shared" si="23"/>
        <v>1.89</v>
      </c>
      <c r="P104" s="158" t="str">
        <f t="shared" si="21"/>
        <v/>
      </c>
      <c r="Q104" s="157" t="str">
        <f t="shared" si="24"/>
        <v/>
      </c>
      <c r="R104" s="157" t="str">
        <f t="shared" si="25"/>
        <v/>
      </c>
    </row>
    <row r="105" spans="1:18" ht="25.5" x14ac:dyDescent="0.2">
      <c r="A105" s="243" t="s">
        <v>30</v>
      </c>
      <c r="B105" s="216" t="s">
        <v>348</v>
      </c>
      <c r="C105" s="243" t="str">
        <f>VLOOKUP(B105,INSUMOS!$A:$I,2,FALSE)</f>
        <v>SINAPI</v>
      </c>
      <c r="D105" s="243" t="str">
        <f>VLOOKUP(B105,INSUMOS!$A:$I,3,FALSE)</f>
        <v>LUVA PARA ELETRODUTO, EM ACO GALVANIZADO ELETROLITICO, DIAMETRO DE 50 MM (2")</v>
      </c>
      <c r="E105" s="281" t="str">
        <f>VLOOKUP(B105,INSUMOS!$A:$I,4,FALSE)</f>
        <v>Material</v>
      </c>
      <c r="F105" s="281"/>
      <c r="G105" s="215" t="str">
        <f>VLOOKUP(B105,INSUMOS!$A:$I,5,FALSE)</f>
        <v>UN</v>
      </c>
      <c r="H105" s="218">
        <v>0.33329999999999999</v>
      </c>
      <c r="I105" s="217">
        <f>VLOOKUP(B105,INSUMOS!$A:$I,8,FALSE)</f>
        <v>7.02</v>
      </c>
      <c r="J105" s="217">
        <f t="shared" si="22"/>
        <v>2.33</v>
      </c>
      <c r="L105" s="149">
        <f t="shared" si="18"/>
        <v>9</v>
      </c>
      <c r="M105" s="156">
        <f t="shared" si="19"/>
        <v>2.33</v>
      </c>
      <c r="N105" s="157" t="str">
        <f t="shared" si="20"/>
        <v/>
      </c>
      <c r="O105" s="157">
        <f t="shared" si="23"/>
        <v>2.33</v>
      </c>
      <c r="P105" s="158" t="str">
        <f t="shared" si="21"/>
        <v/>
      </c>
      <c r="Q105" s="157" t="str">
        <f t="shared" si="24"/>
        <v/>
      </c>
      <c r="R105" s="157" t="str">
        <f t="shared" si="25"/>
        <v/>
      </c>
    </row>
    <row r="106" spans="1:18" x14ac:dyDescent="0.2">
      <c r="A106" s="246"/>
      <c r="B106" s="246"/>
      <c r="C106" s="246"/>
      <c r="D106" s="246"/>
      <c r="E106" s="246"/>
      <c r="F106" s="222"/>
      <c r="G106" s="246"/>
      <c r="H106" s="222"/>
      <c r="I106" s="246"/>
      <c r="J106" s="222"/>
      <c r="L106" s="149">
        <f t="shared" si="18"/>
        <v>9</v>
      </c>
      <c r="M106" s="156" t="str">
        <f t="shared" si="19"/>
        <v/>
      </c>
      <c r="N106" s="157" t="str">
        <f t="shared" si="20"/>
        <v/>
      </c>
      <c r="O106" s="157" t="str">
        <f t="shared" si="23"/>
        <v/>
      </c>
      <c r="P106" s="158" t="str">
        <f t="shared" si="21"/>
        <v/>
      </c>
      <c r="Q106" s="157" t="str">
        <f t="shared" si="24"/>
        <v/>
      </c>
      <c r="R106" s="157" t="str">
        <f t="shared" si="25"/>
        <v/>
      </c>
    </row>
    <row r="107" spans="1:18" ht="25.5" customHeight="1" x14ac:dyDescent="0.2">
      <c r="A107" s="246"/>
      <c r="B107" s="246"/>
      <c r="C107" s="246"/>
      <c r="D107" s="246"/>
      <c r="E107" s="246"/>
      <c r="F107" s="222"/>
      <c r="G107" s="246"/>
      <c r="H107" s="282" t="s">
        <v>39</v>
      </c>
      <c r="I107" s="282"/>
      <c r="J107" s="222">
        <f>TRUNC(SUMIF(L:L,$L107,M:M)*(1+$J$9),2)</f>
        <v>18.89</v>
      </c>
      <c r="L107" s="149">
        <f t="shared" si="18"/>
        <v>9</v>
      </c>
      <c r="M107" s="156" t="str">
        <f t="shared" si="19"/>
        <v/>
      </c>
      <c r="N107" s="157" t="str">
        <f t="shared" si="20"/>
        <v/>
      </c>
      <c r="O107" s="157" t="str">
        <f t="shared" si="23"/>
        <v/>
      </c>
      <c r="P107" s="158" t="str">
        <f t="shared" si="21"/>
        <v/>
      </c>
      <c r="Q107" s="157" t="str">
        <f t="shared" si="24"/>
        <v/>
      </c>
      <c r="R107" s="157" t="str">
        <f t="shared" si="25"/>
        <v/>
      </c>
    </row>
    <row r="108" spans="1:18" ht="15" thickBot="1" x14ac:dyDescent="0.25">
      <c r="A108" s="219"/>
      <c r="B108" s="219"/>
      <c r="C108" s="219"/>
      <c r="D108" s="219"/>
      <c r="E108" s="219"/>
      <c r="F108" s="219"/>
      <c r="G108" s="219" t="s">
        <v>40</v>
      </c>
      <c r="H108" s="221">
        <v>106</v>
      </c>
      <c r="I108" s="219" t="s">
        <v>41</v>
      </c>
      <c r="J108" s="220">
        <f>TRUNC(J107*H108,2)</f>
        <v>2002.34</v>
      </c>
      <c r="L108" s="149">
        <f t="shared" si="18"/>
        <v>9</v>
      </c>
      <c r="M108" s="156" t="str">
        <f t="shared" si="19"/>
        <v/>
      </c>
      <c r="N108" s="157" t="str">
        <f t="shared" si="20"/>
        <v/>
      </c>
      <c r="O108" s="157" t="str">
        <f t="shared" si="23"/>
        <v/>
      </c>
      <c r="P108" s="158" t="str">
        <f t="shared" si="21"/>
        <v/>
      </c>
      <c r="Q108" s="157" t="str">
        <f t="shared" si="24"/>
        <v/>
      </c>
      <c r="R108" s="157" t="str">
        <f t="shared" si="25"/>
        <v/>
      </c>
    </row>
    <row r="109" spans="1:18" ht="15" thickTop="1" x14ac:dyDescent="0.2">
      <c r="A109" s="210"/>
      <c r="B109" s="210"/>
      <c r="C109" s="210"/>
      <c r="D109" s="210"/>
      <c r="E109" s="210"/>
      <c r="F109" s="210"/>
      <c r="G109" s="210"/>
      <c r="H109" s="210"/>
      <c r="I109" s="210"/>
      <c r="J109" s="210"/>
      <c r="L109" s="149">
        <f t="shared" si="18"/>
        <v>10</v>
      </c>
      <c r="M109" s="156" t="str">
        <f t="shared" si="19"/>
        <v/>
      </c>
      <c r="N109" s="157" t="str">
        <f t="shared" si="20"/>
        <v/>
      </c>
      <c r="O109" s="157" t="str">
        <f t="shared" si="23"/>
        <v/>
      </c>
      <c r="P109" s="158" t="str">
        <f t="shared" si="21"/>
        <v/>
      </c>
      <c r="Q109" s="157" t="str">
        <f t="shared" si="24"/>
        <v/>
      </c>
      <c r="R109" s="157" t="str">
        <f t="shared" si="25"/>
        <v/>
      </c>
    </row>
    <row r="110" spans="1:18" ht="14.25" customHeight="1" x14ac:dyDescent="0.2">
      <c r="A110" s="245" t="s">
        <v>452</v>
      </c>
      <c r="B110" s="203" t="s">
        <v>1</v>
      </c>
      <c r="C110" s="245" t="s">
        <v>2</v>
      </c>
      <c r="D110" s="245" t="s">
        <v>3</v>
      </c>
      <c r="E110" s="284" t="s">
        <v>17</v>
      </c>
      <c r="F110" s="284"/>
      <c r="G110" s="202" t="s">
        <v>4</v>
      </c>
      <c r="H110" s="203" t="s">
        <v>5</v>
      </c>
      <c r="I110" s="203" t="s">
        <v>6</v>
      </c>
      <c r="J110" s="203" t="s">
        <v>7</v>
      </c>
      <c r="L110" s="149">
        <f t="shared" si="18"/>
        <v>10</v>
      </c>
      <c r="M110" s="156" t="str">
        <f t="shared" si="19"/>
        <v/>
      </c>
      <c r="N110" s="157" t="str">
        <f t="shared" si="20"/>
        <v/>
      </c>
      <c r="O110" s="157" t="str">
        <f t="shared" si="23"/>
        <v/>
      </c>
      <c r="P110" s="158" t="str">
        <f t="shared" si="21"/>
        <v/>
      </c>
      <c r="Q110" s="157" t="str">
        <f t="shared" si="24"/>
        <v/>
      </c>
      <c r="R110" s="157" t="str">
        <f t="shared" si="25"/>
        <v/>
      </c>
    </row>
    <row r="111" spans="1:18" ht="25.5" customHeight="1" x14ac:dyDescent="0.2">
      <c r="A111" s="247" t="s">
        <v>18</v>
      </c>
      <c r="B111" s="207" t="s">
        <v>453</v>
      </c>
      <c r="C111" s="247" t="s">
        <v>11</v>
      </c>
      <c r="D111" s="247" t="s">
        <v>454</v>
      </c>
      <c r="E111" s="285" t="s">
        <v>268</v>
      </c>
      <c r="F111" s="285"/>
      <c r="G111" s="206" t="s">
        <v>291</v>
      </c>
      <c r="H111" s="209">
        <v>1</v>
      </c>
      <c r="I111" s="208">
        <f>SUMIF(L:L,$L111,M:M)</f>
        <v>48.519999999999996</v>
      </c>
      <c r="J111" s="208">
        <f>TRUNC(H111*I111,2)</f>
        <v>48.52</v>
      </c>
      <c r="L111" s="149">
        <f t="shared" si="18"/>
        <v>10</v>
      </c>
      <c r="M111" s="156" t="str">
        <f t="shared" si="19"/>
        <v/>
      </c>
      <c r="N111" s="157" t="str">
        <f t="shared" si="20"/>
        <v/>
      </c>
      <c r="O111" s="157" t="str">
        <f t="shared" si="23"/>
        <v/>
      </c>
      <c r="P111" s="158" t="str">
        <f t="shared" si="21"/>
        <v xml:space="preserve"> 04.01.02 </v>
      </c>
      <c r="Q111" s="157">
        <f t="shared" si="24"/>
        <v>5.4499999999999993</v>
      </c>
      <c r="R111" s="157">
        <f t="shared" si="25"/>
        <v>43.07</v>
      </c>
    </row>
    <row r="112" spans="1:18" ht="25.5" customHeight="1" x14ac:dyDescent="0.2">
      <c r="A112" s="244" t="s">
        <v>20</v>
      </c>
      <c r="B112" s="212" t="s">
        <v>269</v>
      </c>
      <c r="C112" s="244" t="s">
        <v>8</v>
      </c>
      <c r="D112" s="244" t="s">
        <v>270</v>
      </c>
      <c r="E112" s="283" t="s">
        <v>26</v>
      </c>
      <c r="F112" s="283"/>
      <c r="G112" s="211" t="s">
        <v>27</v>
      </c>
      <c r="H112" s="214">
        <v>0.15</v>
      </c>
      <c r="I112" s="213">
        <f>SUMIFS('ANALÍTICA AUXILIARES'!J:J,'ANALÍTICA AUXILIARES'!A:A,"Composição",'ANALÍTICA AUXILIARES'!B:B,$B112)</f>
        <v>20.51</v>
      </c>
      <c r="J112" s="213">
        <f>TRUNC(H112*I112,2)</f>
        <v>3.07</v>
      </c>
      <c r="L112" s="149">
        <f t="shared" si="18"/>
        <v>10</v>
      </c>
      <c r="M112" s="156">
        <f t="shared" si="19"/>
        <v>3.07</v>
      </c>
      <c r="N112" s="157">
        <f t="shared" si="20"/>
        <v>3.07</v>
      </c>
      <c r="O112" s="157" t="str">
        <f t="shared" si="23"/>
        <v/>
      </c>
      <c r="P112" s="158" t="str">
        <f t="shared" si="21"/>
        <v/>
      </c>
      <c r="Q112" s="157" t="str">
        <f t="shared" si="24"/>
        <v/>
      </c>
      <c r="R112" s="157" t="str">
        <f t="shared" si="25"/>
        <v/>
      </c>
    </row>
    <row r="113" spans="1:18" ht="25.5" x14ac:dyDescent="0.2">
      <c r="A113" s="244" t="s">
        <v>20</v>
      </c>
      <c r="B113" s="212" t="s">
        <v>264</v>
      </c>
      <c r="C113" s="244" t="s">
        <v>8</v>
      </c>
      <c r="D113" s="244" t="s">
        <v>265</v>
      </c>
      <c r="E113" s="283" t="s">
        <v>26</v>
      </c>
      <c r="F113" s="283"/>
      <c r="G113" s="211" t="s">
        <v>27</v>
      </c>
      <c r="H113" s="214">
        <v>0.15</v>
      </c>
      <c r="I113" s="213">
        <f>SUMIFS('ANALÍTICA AUXILIARES'!J:J,'ANALÍTICA AUXILIARES'!A:A,"Composição",'ANALÍTICA AUXILIARES'!B:B,$B113)</f>
        <v>15.91</v>
      </c>
      <c r="J113" s="213">
        <f>TRUNC(H113*I113,2)</f>
        <v>2.38</v>
      </c>
      <c r="L113" s="149">
        <f t="shared" si="18"/>
        <v>10</v>
      </c>
      <c r="M113" s="156">
        <f t="shared" si="19"/>
        <v>2.38</v>
      </c>
      <c r="N113" s="157">
        <f t="shared" si="20"/>
        <v>2.38</v>
      </c>
      <c r="O113" s="157" t="str">
        <f t="shared" si="23"/>
        <v/>
      </c>
      <c r="P113" s="158" t="str">
        <f t="shared" si="21"/>
        <v/>
      </c>
      <c r="Q113" s="157" t="str">
        <f t="shared" si="24"/>
        <v/>
      </c>
      <c r="R113" s="157" t="str">
        <f t="shared" si="25"/>
        <v/>
      </c>
    </row>
    <row r="114" spans="1:18" ht="14.25" customHeight="1" x14ac:dyDescent="0.2">
      <c r="A114" s="243" t="s">
        <v>30</v>
      </c>
      <c r="B114" s="216" t="s">
        <v>310</v>
      </c>
      <c r="C114" s="243" t="str">
        <f>VLOOKUP(B114,INSUMOS!$A:$I,2,FALSE)</f>
        <v>SINAPI</v>
      </c>
      <c r="D114" s="243" t="str">
        <f>VLOOKUP(B114,INSUMOS!$A:$I,3,FALSE)</f>
        <v>CONDULETE DE ALUMINIO TIPO X, PARA ELETRODUTO ROSCAVEL DE 2", COM TAMPA CEGA</v>
      </c>
      <c r="E114" s="281" t="str">
        <f>VLOOKUP(B114,INSUMOS!$A:$I,4,FALSE)</f>
        <v>Material</v>
      </c>
      <c r="F114" s="281"/>
      <c r="G114" s="215" t="str">
        <f>VLOOKUP(B114,INSUMOS!$A:$I,5,FALSE)</f>
        <v>UN</v>
      </c>
      <c r="H114" s="218">
        <v>1</v>
      </c>
      <c r="I114" s="217">
        <f>VLOOKUP(B114,INSUMOS!$A:$I,8,FALSE)</f>
        <v>43.07</v>
      </c>
      <c r="J114" s="217">
        <f>TRUNC(H114*I114,2)</f>
        <v>43.07</v>
      </c>
      <c r="L114" s="149">
        <f t="shared" si="18"/>
        <v>10</v>
      </c>
      <c r="M114" s="156">
        <f t="shared" si="19"/>
        <v>43.07</v>
      </c>
      <c r="N114" s="157" t="str">
        <f t="shared" si="20"/>
        <v/>
      </c>
      <c r="O114" s="157">
        <f t="shared" si="23"/>
        <v>43.07</v>
      </c>
      <c r="P114" s="158" t="str">
        <f t="shared" si="21"/>
        <v/>
      </c>
      <c r="Q114" s="157" t="str">
        <f t="shared" si="24"/>
        <v/>
      </c>
      <c r="R114" s="157" t="str">
        <f t="shared" si="25"/>
        <v/>
      </c>
    </row>
    <row r="115" spans="1:18" x14ac:dyDescent="0.2">
      <c r="A115" s="246"/>
      <c r="B115" s="246"/>
      <c r="C115" s="246"/>
      <c r="D115" s="246"/>
      <c r="E115" s="246"/>
      <c r="F115" s="222"/>
      <c r="G115" s="246"/>
      <c r="H115" s="222"/>
      <c r="I115" s="246"/>
      <c r="J115" s="222"/>
      <c r="L115" s="149">
        <f t="shared" si="18"/>
        <v>10</v>
      </c>
      <c r="M115" s="156" t="str">
        <f t="shared" si="19"/>
        <v/>
      </c>
      <c r="N115" s="157" t="str">
        <f t="shared" si="20"/>
        <v/>
      </c>
      <c r="O115" s="157" t="str">
        <f t="shared" si="23"/>
        <v/>
      </c>
      <c r="P115" s="158" t="str">
        <f t="shared" si="21"/>
        <v/>
      </c>
      <c r="Q115" s="157" t="str">
        <f t="shared" si="24"/>
        <v/>
      </c>
      <c r="R115" s="157" t="str">
        <f t="shared" si="25"/>
        <v/>
      </c>
    </row>
    <row r="116" spans="1:18" ht="14.25" customHeight="1" x14ac:dyDescent="0.2">
      <c r="A116" s="246"/>
      <c r="B116" s="246"/>
      <c r="C116" s="246"/>
      <c r="D116" s="246"/>
      <c r="E116" s="246"/>
      <c r="F116" s="222"/>
      <c r="G116" s="246"/>
      <c r="H116" s="282" t="s">
        <v>39</v>
      </c>
      <c r="I116" s="282"/>
      <c r="J116" s="222">
        <f>TRUNC(SUMIF(L:L,$L116,M:M)*(1+$J$9),2)</f>
        <v>59.3</v>
      </c>
      <c r="L116" s="149">
        <f t="shared" si="18"/>
        <v>10</v>
      </c>
      <c r="M116" s="156" t="str">
        <f t="shared" si="19"/>
        <v/>
      </c>
      <c r="N116" s="157" t="str">
        <f t="shared" si="20"/>
        <v/>
      </c>
      <c r="O116" s="157" t="str">
        <f t="shared" si="23"/>
        <v/>
      </c>
      <c r="P116" s="158" t="str">
        <f t="shared" si="21"/>
        <v/>
      </c>
      <c r="Q116" s="157" t="str">
        <f t="shared" si="24"/>
        <v/>
      </c>
      <c r="R116" s="157" t="str">
        <f t="shared" si="25"/>
        <v/>
      </c>
    </row>
    <row r="117" spans="1:18" ht="15" thickBot="1" x14ac:dyDescent="0.25">
      <c r="A117" s="219"/>
      <c r="B117" s="219"/>
      <c r="C117" s="219"/>
      <c r="D117" s="219"/>
      <c r="E117" s="219"/>
      <c r="F117" s="219"/>
      <c r="G117" s="219" t="s">
        <v>40</v>
      </c>
      <c r="H117" s="221">
        <v>50</v>
      </c>
      <c r="I117" s="219" t="s">
        <v>41</v>
      </c>
      <c r="J117" s="220">
        <f>TRUNC(J116*H117,2)</f>
        <v>2965</v>
      </c>
      <c r="L117" s="149">
        <f t="shared" si="18"/>
        <v>10</v>
      </c>
      <c r="M117" s="156" t="str">
        <f t="shared" si="19"/>
        <v/>
      </c>
      <c r="N117" s="157" t="str">
        <f t="shared" si="20"/>
        <v/>
      </c>
      <c r="O117" s="157" t="str">
        <f t="shared" si="23"/>
        <v/>
      </c>
      <c r="P117" s="158" t="str">
        <f t="shared" si="21"/>
        <v/>
      </c>
      <c r="Q117" s="157" t="str">
        <f t="shared" si="24"/>
        <v/>
      </c>
      <c r="R117" s="157" t="str">
        <f t="shared" si="25"/>
        <v/>
      </c>
    </row>
    <row r="118" spans="1:18" ht="14.25" customHeight="1" thickTop="1" x14ac:dyDescent="0.2">
      <c r="A118" s="210"/>
      <c r="B118" s="210"/>
      <c r="C118" s="210"/>
      <c r="D118" s="210"/>
      <c r="E118" s="210"/>
      <c r="F118" s="210"/>
      <c r="G118" s="210"/>
      <c r="H118" s="210"/>
      <c r="I118" s="210"/>
      <c r="J118" s="210"/>
      <c r="L118" s="149">
        <f t="shared" si="18"/>
        <v>11</v>
      </c>
      <c r="M118" s="156" t="str">
        <f t="shared" si="19"/>
        <v/>
      </c>
      <c r="N118" s="157" t="str">
        <f t="shared" si="20"/>
        <v/>
      </c>
      <c r="O118" s="157" t="str">
        <f t="shared" si="23"/>
        <v/>
      </c>
      <c r="P118" s="158" t="str">
        <f t="shared" si="21"/>
        <v/>
      </c>
      <c r="Q118" s="157" t="str">
        <f t="shared" si="24"/>
        <v/>
      </c>
      <c r="R118" s="157" t="str">
        <f t="shared" si="25"/>
        <v/>
      </c>
    </row>
    <row r="119" spans="1:18" ht="15" x14ac:dyDescent="0.2">
      <c r="A119" s="245" t="s">
        <v>455</v>
      </c>
      <c r="B119" s="203" t="s">
        <v>1</v>
      </c>
      <c r="C119" s="245" t="s">
        <v>2</v>
      </c>
      <c r="D119" s="245" t="s">
        <v>3</v>
      </c>
      <c r="E119" s="284" t="s">
        <v>17</v>
      </c>
      <c r="F119" s="284"/>
      <c r="G119" s="202" t="s">
        <v>4</v>
      </c>
      <c r="H119" s="203" t="s">
        <v>5</v>
      </c>
      <c r="I119" s="203" t="s">
        <v>6</v>
      </c>
      <c r="J119" s="203" t="s">
        <v>7</v>
      </c>
      <c r="L119" s="149">
        <f t="shared" si="18"/>
        <v>11</v>
      </c>
      <c r="M119" s="156" t="str">
        <f t="shared" si="19"/>
        <v/>
      </c>
      <c r="N119" s="157" t="str">
        <f t="shared" si="20"/>
        <v/>
      </c>
      <c r="O119" s="157" t="str">
        <f t="shared" si="23"/>
        <v/>
      </c>
      <c r="P119" s="158" t="str">
        <f t="shared" si="21"/>
        <v/>
      </c>
      <c r="Q119" s="157" t="str">
        <f t="shared" si="24"/>
        <v/>
      </c>
      <c r="R119" s="157" t="str">
        <f t="shared" si="25"/>
        <v/>
      </c>
    </row>
    <row r="120" spans="1:18" ht="25.5" customHeight="1" x14ac:dyDescent="0.2">
      <c r="A120" s="247" t="s">
        <v>18</v>
      </c>
      <c r="B120" s="207" t="s">
        <v>456</v>
      </c>
      <c r="C120" s="247" t="s">
        <v>11</v>
      </c>
      <c r="D120" s="247" t="s">
        <v>457</v>
      </c>
      <c r="E120" s="285" t="s">
        <v>268</v>
      </c>
      <c r="F120" s="285"/>
      <c r="G120" s="206" t="s">
        <v>298</v>
      </c>
      <c r="H120" s="209">
        <v>1</v>
      </c>
      <c r="I120" s="208">
        <f>SUMIF(L:L,$L120,M:M)</f>
        <v>19.340000000000003</v>
      </c>
      <c r="J120" s="208">
        <f t="shared" ref="J120:J126" si="26">TRUNC(H120*I120,2)</f>
        <v>19.34</v>
      </c>
      <c r="L120" s="149">
        <f t="shared" si="18"/>
        <v>11</v>
      </c>
      <c r="M120" s="156" t="str">
        <f t="shared" si="19"/>
        <v/>
      </c>
      <c r="N120" s="157" t="str">
        <f t="shared" si="20"/>
        <v/>
      </c>
      <c r="O120" s="157" t="str">
        <f t="shared" si="23"/>
        <v/>
      </c>
      <c r="P120" s="158" t="str">
        <f t="shared" si="21"/>
        <v xml:space="preserve"> 04.01.03 </v>
      </c>
      <c r="Q120" s="157">
        <f t="shared" si="24"/>
        <v>10.260000000000002</v>
      </c>
      <c r="R120" s="157">
        <f t="shared" si="25"/>
        <v>9.08</v>
      </c>
    </row>
    <row r="121" spans="1:18" ht="38.25" customHeight="1" x14ac:dyDescent="0.2">
      <c r="A121" s="244" t="s">
        <v>20</v>
      </c>
      <c r="B121" s="212" t="s">
        <v>269</v>
      </c>
      <c r="C121" s="244" t="s">
        <v>8</v>
      </c>
      <c r="D121" s="244" t="s">
        <v>270</v>
      </c>
      <c r="E121" s="283" t="s">
        <v>26</v>
      </c>
      <c r="F121" s="283"/>
      <c r="G121" s="211" t="s">
        <v>27</v>
      </c>
      <c r="H121" s="214">
        <v>0.28210000000000002</v>
      </c>
      <c r="I121" s="213">
        <f>SUMIFS('ANALÍTICA AUXILIARES'!J:J,'ANALÍTICA AUXILIARES'!A:A,"Composição",'ANALÍTICA AUXILIARES'!B:B,$B121)</f>
        <v>20.51</v>
      </c>
      <c r="J121" s="213">
        <f t="shared" si="26"/>
        <v>5.78</v>
      </c>
      <c r="L121" s="149">
        <f t="shared" si="18"/>
        <v>11</v>
      </c>
      <c r="M121" s="156">
        <f t="shared" si="19"/>
        <v>5.78</v>
      </c>
      <c r="N121" s="157">
        <f t="shared" si="20"/>
        <v>5.78</v>
      </c>
      <c r="O121" s="157" t="str">
        <f t="shared" si="23"/>
        <v/>
      </c>
      <c r="P121" s="158" t="str">
        <f t="shared" si="21"/>
        <v/>
      </c>
      <c r="Q121" s="157" t="str">
        <f t="shared" si="24"/>
        <v/>
      </c>
      <c r="R121" s="157" t="str">
        <f t="shared" si="25"/>
        <v/>
      </c>
    </row>
    <row r="122" spans="1:18" ht="25.5" customHeight="1" x14ac:dyDescent="0.2">
      <c r="A122" s="244" t="s">
        <v>20</v>
      </c>
      <c r="B122" s="212" t="s">
        <v>264</v>
      </c>
      <c r="C122" s="244" t="s">
        <v>8</v>
      </c>
      <c r="D122" s="244" t="s">
        <v>265</v>
      </c>
      <c r="E122" s="283" t="s">
        <v>26</v>
      </c>
      <c r="F122" s="283"/>
      <c r="G122" s="211" t="s">
        <v>27</v>
      </c>
      <c r="H122" s="214">
        <v>0.28210000000000002</v>
      </c>
      <c r="I122" s="213">
        <f>SUMIFS('ANALÍTICA AUXILIARES'!J:J,'ANALÍTICA AUXILIARES'!A:A,"Composição",'ANALÍTICA AUXILIARES'!B:B,$B122)</f>
        <v>15.91</v>
      </c>
      <c r="J122" s="213">
        <f t="shared" si="26"/>
        <v>4.4800000000000004</v>
      </c>
      <c r="L122" s="149">
        <f t="shared" si="18"/>
        <v>11</v>
      </c>
      <c r="M122" s="156">
        <f t="shared" si="19"/>
        <v>4.4800000000000004</v>
      </c>
      <c r="N122" s="157">
        <f t="shared" si="20"/>
        <v>4.4800000000000004</v>
      </c>
      <c r="O122" s="157" t="str">
        <f t="shared" si="23"/>
        <v/>
      </c>
      <c r="P122" s="158" t="str">
        <f t="shared" si="21"/>
        <v/>
      </c>
      <c r="Q122" s="157" t="str">
        <f t="shared" si="24"/>
        <v/>
      </c>
      <c r="R122" s="157" t="str">
        <f t="shared" si="25"/>
        <v/>
      </c>
    </row>
    <row r="123" spans="1:18" ht="14.25" customHeight="1" x14ac:dyDescent="0.2">
      <c r="A123" s="243" t="s">
        <v>30</v>
      </c>
      <c r="B123" s="216" t="s">
        <v>388</v>
      </c>
      <c r="C123" s="243" t="str">
        <f>VLOOKUP(B123,INSUMOS!$A:$I,2,FALSE)</f>
        <v>SINAPI</v>
      </c>
      <c r="D123" s="243" t="str">
        <f>VLOOKUP(B123,INSUMOS!$A:$I,3,FALSE)</f>
        <v>ABRACADEIRA EM ACO PARA AMARRACAO DE ELETRODUTOS, TIPO D, COM 3" E CUNHA DE FIXACAO</v>
      </c>
      <c r="E123" s="281" t="str">
        <f>VLOOKUP(B123,INSUMOS!$A:$I,4,FALSE)</f>
        <v>Material</v>
      </c>
      <c r="F123" s="281"/>
      <c r="G123" s="215" t="str">
        <f>VLOOKUP(B123,INSUMOS!$A:$I,5,FALSE)</f>
        <v>UN</v>
      </c>
      <c r="H123" s="218">
        <v>0.5</v>
      </c>
      <c r="I123" s="217">
        <f>VLOOKUP(B123,INSUMOS!$A:$I,8,FALSE)</f>
        <v>3.27</v>
      </c>
      <c r="J123" s="217">
        <f t="shared" si="26"/>
        <v>1.63</v>
      </c>
      <c r="L123" s="149">
        <f t="shared" si="18"/>
        <v>11</v>
      </c>
      <c r="M123" s="156">
        <f t="shared" si="19"/>
        <v>1.63</v>
      </c>
      <c r="N123" s="157" t="str">
        <f t="shared" si="20"/>
        <v/>
      </c>
      <c r="O123" s="157">
        <f t="shared" si="23"/>
        <v>1.63</v>
      </c>
      <c r="P123" s="158" t="str">
        <f t="shared" si="21"/>
        <v/>
      </c>
      <c r="Q123" s="157" t="str">
        <f t="shared" si="24"/>
        <v/>
      </c>
      <c r="R123" s="157" t="str">
        <f t="shared" si="25"/>
        <v/>
      </c>
    </row>
    <row r="124" spans="1:18" ht="25.5" x14ac:dyDescent="0.2">
      <c r="A124" s="243" t="s">
        <v>30</v>
      </c>
      <c r="B124" s="216" t="s">
        <v>354</v>
      </c>
      <c r="C124" s="243" t="str">
        <f>VLOOKUP(B124,INSUMOS!$A:$I,2,FALSE)</f>
        <v>SINAPI</v>
      </c>
      <c r="D124" s="243" t="str">
        <f>VLOOKUP(B124,INSUMOS!$A:$I,3,FALSE)</f>
        <v>BLOCO CONCRETO ESTRUTURAL 19 X 19 X 39 CM, FBK 10 MPA (NBR 6136)</v>
      </c>
      <c r="E124" s="281" t="str">
        <f>VLOOKUP(B124,INSUMOS!$A:$I,4,FALSE)</f>
        <v>Material</v>
      </c>
      <c r="F124" s="281"/>
      <c r="G124" s="215" t="str">
        <f>VLOOKUP(B124,INSUMOS!$A:$I,5,FALSE)</f>
        <v>UN</v>
      </c>
      <c r="H124" s="218">
        <v>0.5</v>
      </c>
      <c r="I124" s="217">
        <f>VLOOKUP(B124,INSUMOS!$A:$I,8,FALSE)</f>
        <v>3.79</v>
      </c>
      <c r="J124" s="217">
        <f t="shared" si="26"/>
        <v>1.89</v>
      </c>
      <c r="L124" s="149">
        <f t="shared" si="18"/>
        <v>11</v>
      </c>
      <c r="M124" s="156">
        <f t="shared" si="19"/>
        <v>1.89</v>
      </c>
      <c r="N124" s="157" t="str">
        <f t="shared" si="20"/>
        <v/>
      </c>
      <c r="O124" s="157">
        <f t="shared" si="23"/>
        <v>1.89</v>
      </c>
      <c r="P124" s="158" t="str">
        <f t="shared" si="21"/>
        <v/>
      </c>
      <c r="Q124" s="157" t="str">
        <f t="shared" si="24"/>
        <v/>
      </c>
      <c r="R124" s="157" t="str">
        <f t="shared" si="25"/>
        <v/>
      </c>
    </row>
    <row r="125" spans="1:18" ht="14.25" customHeight="1" x14ac:dyDescent="0.2">
      <c r="A125" s="243" t="s">
        <v>30</v>
      </c>
      <c r="B125" s="216" t="s">
        <v>369</v>
      </c>
      <c r="C125" s="243" t="str">
        <f>VLOOKUP(B125,INSUMOS!$A:$I,2,FALSE)</f>
        <v>SINAPI</v>
      </c>
      <c r="D125" s="243" t="str">
        <f>VLOOKUP(B125,INSUMOS!$A:$I,3,FALSE)</f>
        <v>LUVA PARA ELETRODUTO, EM ACO GALVANIZADO ELETROLITICO, DIAMETRO DE 80 MM (3")</v>
      </c>
      <c r="E125" s="281" t="str">
        <f>VLOOKUP(B125,INSUMOS!$A:$I,4,FALSE)</f>
        <v>Material</v>
      </c>
      <c r="F125" s="281"/>
      <c r="G125" s="215" t="str">
        <f>VLOOKUP(B125,INSUMOS!$A:$I,5,FALSE)</f>
        <v>UN</v>
      </c>
      <c r="H125" s="218">
        <v>0.33329999999999999</v>
      </c>
      <c r="I125" s="217">
        <f>VLOOKUP(B125,INSUMOS!$A:$I,8,FALSE)</f>
        <v>15.6</v>
      </c>
      <c r="J125" s="217">
        <f t="shared" si="26"/>
        <v>5.19</v>
      </c>
      <c r="L125" s="149">
        <f t="shared" si="18"/>
        <v>11</v>
      </c>
      <c r="M125" s="156">
        <f t="shared" si="19"/>
        <v>5.19</v>
      </c>
      <c r="N125" s="157" t="str">
        <f t="shared" si="20"/>
        <v/>
      </c>
      <c r="O125" s="157">
        <f t="shared" si="23"/>
        <v>5.19</v>
      </c>
      <c r="P125" s="158" t="str">
        <f t="shared" si="21"/>
        <v/>
      </c>
      <c r="Q125" s="157" t="str">
        <f t="shared" si="24"/>
        <v/>
      </c>
      <c r="R125" s="157" t="str">
        <f t="shared" si="25"/>
        <v/>
      </c>
    </row>
    <row r="126" spans="1:18" x14ac:dyDescent="0.2">
      <c r="A126" s="243" t="s">
        <v>30</v>
      </c>
      <c r="B126" s="216" t="s">
        <v>397</v>
      </c>
      <c r="C126" s="243" t="str">
        <f>VLOOKUP(B126,INSUMOS!$A:$I,2,FALSE)</f>
        <v>ORSE</v>
      </c>
      <c r="D126" s="243" t="str">
        <f>VLOOKUP(B126,INSUMOS!$A:$I,3,FALSE)</f>
        <v>Parafuso de fixação com bucha plástica 8 mm</v>
      </c>
      <c r="E126" s="281" t="str">
        <f>VLOOKUP(B126,INSUMOS!$A:$I,4,FALSE)</f>
        <v>Material</v>
      </c>
      <c r="F126" s="281"/>
      <c r="G126" s="215" t="str">
        <f>VLOOKUP(B126,INSUMOS!$A:$I,5,FALSE)</f>
        <v>cj</v>
      </c>
      <c r="H126" s="218">
        <v>0.5</v>
      </c>
      <c r="I126" s="217">
        <f>VLOOKUP(B126,INSUMOS!$A:$I,8,FALSE)</f>
        <v>0.74</v>
      </c>
      <c r="J126" s="217">
        <f t="shared" si="26"/>
        <v>0.37</v>
      </c>
      <c r="L126" s="149">
        <f t="shared" si="18"/>
        <v>11</v>
      </c>
      <c r="M126" s="156">
        <f t="shared" si="19"/>
        <v>0.37</v>
      </c>
      <c r="N126" s="157" t="str">
        <f t="shared" si="20"/>
        <v/>
      </c>
      <c r="O126" s="157">
        <f t="shared" si="23"/>
        <v>0.37</v>
      </c>
      <c r="P126" s="158" t="str">
        <f t="shared" si="21"/>
        <v/>
      </c>
      <c r="Q126" s="157" t="str">
        <f t="shared" si="24"/>
        <v/>
      </c>
      <c r="R126" s="157" t="str">
        <f t="shared" si="25"/>
        <v/>
      </c>
    </row>
    <row r="127" spans="1:18" x14ac:dyDescent="0.2">
      <c r="A127" s="246"/>
      <c r="B127" s="246"/>
      <c r="C127" s="246"/>
      <c r="D127" s="246"/>
      <c r="E127" s="246"/>
      <c r="F127" s="222"/>
      <c r="G127" s="246"/>
      <c r="H127" s="222"/>
      <c r="I127" s="246"/>
      <c r="J127" s="222"/>
      <c r="L127" s="149">
        <f t="shared" si="18"/>
        <v>11</v>
      </c>
      <c r="M127" s="156" t="str">
        <f t="shared" si="19"/>
        <v/>
      </c>
      <c r="N127" s="157" t="str">
        <f t="shared" si="20"/>
        <v/>
      </c>
      <c r="O127" s="157" t="str">
        <f t="shared" si="23"/>
        <v/>
      </c>
      <c r="P127" s="158" t="str">
        <f t="shared" si="21"/>
        <v/>
      </c>
      <c r="Q127" s="157" t="str">
        <f t="shared" si="24"/>
        <v/>
      </c>
      <c r="R127" s="157" t="str">
        <f t="shared" si="25"/>
        <v/>
      </c>
    </row>
    <row r="128" spans="1:18" ht="14.25" customHeight="1" x14ac:dyDescent="0.2">
      <c r="A128" s="246"/>
      <c r="B128" s="246"/>
      <c r="C128" s="246"/>
      <c r="D128" s="246"/>
      <c r="E128" s="246"/>
      <c r="F128" s="222"/>
      <c r="G128" s="246"/>
      <c r="H128" s="282" t="s">
        <v>39</v>
      </c>
      <c r="I128" s="282"/>
      <c r="J128" s="222">
        <f>TRUNC(SUMIF(L:L,$L128,M:M)*(1+$J$9),2)</f>
        <v>23.63</v>
      </c>
      <c r="L128" s="149">
        <f t="shared" si="18"/>
        <v>11</v>
      </c>
      <c r="M128" s="156" t="str">
        <f t="shared" si="19"/>
        <v/>
      </c>
      <c r="N128" s="157" t="str">
        <f t="shared" si="20"/>
        <v/>
      </c>
      <c r="O128" s="157" t="str">
        <f t="shared" si="23"/>
        <v/>
      </c>
      <c r="P128" s="158" t="str">
        <f t="shared" si="21"/>
        <v/>
      </c>
      <c r="Q128" s="157" t="str">
        <f t="shared" si="24"/>
        <v/>
      </c>
      <c r="R128" s="157" t="str">
        <f t="shared" si="25"/>
        <v/>
      </c>
    </row>
    <row r="129" spans="1:18" ht="14.25" customHeight="1" thickBot="1" x14ac:dyDescent="0.25">
      <c r="A129" s="219"/>
      <c r="B129" s="219"/>
      <c r="C129" s="219"/>
      <c r="D129" s="219"/>
      <c r="E129" s="219"/>
      <c r="F129" s="219"/>
      <c r="G129" s="219" t="s">
        <v>40</v>
      </c>
      <c r="H129" s="221">
        <v>12</v>
      </c>
      <c r="I129" s="219" t="s">
        <v>41</v>
      </c>
      <c r="J129" s="220">
        <f>TRUNC(J128*H129,2)</f>
        <v>283.56</v>
      </c>
      <c r="L129" s="149">
        <f t="shared" si="18"/>
        <v>11</v>
      </c>
      <c r="M129" s="156" t="str">
        <f t="shared" si="19"/>
        <v/>
      </c>
      <c r="N129" s="157" t="str">
        <f t="shared" si="20"/>
        <v/>
      </c>
      <c r="O129" s="157" t="str">
        <f t="shared" si="23"/>
        <v/>
      </c>
      <c r="P129" s="158" t="str">
        <f t="shared" si="21"/>
        <v/>
      </c>
      <c r="Q129" s="157" t="str">
        <f t="shared" si="24"/>
        <v/>
      </c>
      <c r="R129" s="157" t="str">
        <f t="shared" si="25"/>
        <v/>
      </c>
    </row>
    <row r="130" spans="1:18" ht="14.25" customHeight="1" thickTop="1" x14ac:dyDescent="0.2">
      <c r="A130" s="210"/>
      <c r="B130" s="210"/>
      <c r="C130" s="210"/>
      <c r="D130" s="210"/>
      <c r="E130" s="210"/>
      <c r="F130" s="210"/>
      <c r="G130" s="210"/>
      <c r="H130" s="210"/>
      <c r="I130" s="210"/>
      <c r="J130" s="210"/>
      <c r="L130" s="149">
        <f t="shared" si="18"/>
        <v>12</v>
      </c>
      <c r="M130" s="156" t="str">
        <f t="shared" si="19"/>
        <v/>
      </c>
      <c r="N130" s="157" t="str">
        <f t="shared" si="20"/>
        <v/>
      </c>
      <c r="O130" s="157" t="str">
        <f t="shared" si="23"/>
        <v/>
      </c>
      <c r="P130" s="158" t="str">
        <f t="shared" si="21"/>
        <v/>
      </c>
      <c r="Q130" s="157" t="str">
        <f t="shared" si="24"/>
        <v/>
      </c>
      <c r="R130" s="157" t="str">
        <f t="shared" si="25"/>
        <v/>
      </c>
    </row>
    <row r="131" spans="1:18" ht="15" x14ac:dyDescent="0.2">
      <c r="A131" s="245" t="s">
        <v>458</v>
      </c>
      <c r="B131" s="203" t="s">
        <v>1</v>
      </c>
      <c r="C131" s="245" t="s">
        <v>2</v>
      </c>
      <c r="D131" s="245" t="s">
        <v>3</v>
      </c>
      <c r="E131" s="284" t="s">
        <v>17</v>
      </c>
      <c r="F131" s="284"/>
      <c r="G131" s="202" t="s">
        <v>4</v>
      </c>
      <c r="H131" s="203" t="s">
        <v>5</v>
      </c>
      <c r="I131" s="203" t="s">
        <v>6</v>
      </c>
      <c r="J131" s="203" t="s">
        <v>7</v>
      </c>
      <c r="L131" s="149">
        <f t="shared" si="18"/>
        <v>12</v>
      </c>
      <c r="M131" s="156" t="str">
        <f t="shared" si="19"/>
        <v/>
      </c>
      <c r="N131" s="157" t="str">
        <f t="shared" si="20"/>
        <v/>
      </c>
      <c r="O131" s="157" t="str">
        <f t="shared" si="23"/>
        <v/>
      </c>
      <c r="P131" s="158" t="str">
        <f t="shared" si="21"/>
        <v/>
      </c>
      <c r="Q131" s="157" t="str">
        <f t="shared" si="24"/>
        <v/>
      </c>
      <c r="R131" s="157" t="str">
        <f t="shared" si="25"/>
        <v/>
      </c>
    </row>
    <row r="132" spans="1:18" ht="14.25" customHeight="1" x14ac:dyDescent="0.2">
      <c r="A132" s="247" t="s">
        <v>18</v>
      </c>
      <c r="B132" s="207" t="s">
        <v>459</v>
      </c>
      <c r="C132" s="247" t="s">
        <v>11</v>
      </c>
      <c r="D132" s="247" t="s">
        <v>460</v>
      </c>
      <c r="E132" s="285" t="s">
        <v>268</v>
      </c>
      <c r="F132" s="285"/>
      <c r="G132" s="206" t="s">
        <v>291</v>
      </c>
      <c r="H132" s="209">
        <v>1</v>
      </c>
      <c r="I132" s="208">
        <f>SUMIF(L:L,$L132,M:M)</f>
        <v>110.22</v>
      </c>
      <c r="J132" s="208">
        <f>TRUNC(H132*I132,2)</f>
        <v>110.22</v>
      </c>
      <c r="L132" s="149">
        <f t="shared" si="18"/>
        <v>12</v>
      </c>
      <c r="M132" s="156" t="str">
        <f t="shared" si="19"/>
        <v/>
      </c>
      <c r="N132" s="157" t="str">
        <f t="shared" si="20"/>
        <v/>
      </c>
      <c r="O132" s="157" t="str">
        <f t="shared" si="23"/>
        <v/>
      </c>
      <c r="P132" s="158" t="str">
        <f t="shared" si="21"/>
        <v xml:space="preserve"> 04.01.04 </v>
      </c>
      <c r="Q132" s="157">
        <f t="shared" si="24"/>
        <v>5.4499999999999993</v>
      </c>
      <c r="R132" s="157">
        <f t="shared" si="25"/>
        <v>104.77</v>
      </c>
    </row>
    <row r="133" spans="1:18" ht="25.5" x14ac:dyDescent="0.2">
      <c r="A133" s="244" t="s">
        <v>20</v>
      </c>
      <c r="B133" s="212" t="s">
        <v>269</v>
      </c>
      <c r="C133" s="244" t="s">
        <v>8</v>
      </c>
      <c r="D133" s="244" t="s">
        <v>270</v>
      </c>
      <c r="E133" s="283" t="s">
        <v>26</v>
      </c>
      <c r="F133" s="283"/>
      <c r="G133" s="211" t="s">
        <v>27</v>
      </c>
      <c r="H133" s="214">
        <v>0.15</v>
      </c>
      <c r="I133" s="213">
        <f>SUMIFS('ANALÍTICA AUXILIARES'!J:J,'ANALÍTICA AUXILIARES'!A:A,"Composição",'ANALÍTICA AUXILIARES'!B:B,$B133)</f>
        <v>20.51</v>
      </c>
      <c r="J133" s="213">
        <f>TRUNC(H133*I133,2)</f>
        <v>3.07</v>
      </c>
      <c r="L133" s="149">
        <f t="shared" si="18"/>
        <v>12</v>
      </c>
      <c r="M133" s="156">
        <f t="shared" si="19"/>
        <v>3.07</v>
      </c>
      <c r="N133" s="157">
        <f t="shared" si="20"/>
        <v>3.07</v>
      </c>
      <c r="O133" s="157" t="str">
        <f t="shared" si="23"/>
        <v/>
      </c>
      <c r="P133" s="158" t="str">
        <f t="shared" si="21"/>
        <v/>
      </c>
      <c r="Q133" s="157" t="str">
        <f t="shared" si="24"/>
        <v/>
      </c>
      <c r="R133" s="157" t="str">
        <f t="shared" si="25"/>
        <v/>
      </c>
    </row>
    <row r="134" spans="1:18" ht="25.5" x14ac:dyDescent="0.2">
      <c r="A134" s="244" t="s">
        <v>20</v>
      </c>
      <c r="B134" s="212" t="s">
        <v>264</v>
      </c>
      <c r="C134" s="244" t="s">
        <v>8</v>
      </c>
      <c r="D134" s="244" t="s">
        <v>265</v>
      </c>
      <c r="E134" s="283" t="s">
        <v>26</v>
      </c>
      <c r="F134" s="283"/>
      <c r="G134" s="211" t="s">
        <v>27</v>
      </c>
      <c r="H134" s="214">
        <v>0.15</v>
      </c>
      <c r="I134" s="213">
        <f>SUMIFS('ANALÍTICA AUXILIARES'!J:J,'ANALÍTICA AUXILIARES'!A:A,"Composição",'ANALÍTICA AUXILIARES'!B:B,$B134)</f>
        <v>15.91</v>
      </c>
      <c r="J134" s="213">
        <f>TRUNC(H134*I134,2)</f>
        <v>2.38</v>
      </c>
      <c r="L134" s="149">
        <f t="shared" si="18"/>
        <v>12</v>
      </c>
      <c r="M134" s="156">
        <f t="shared" si="19"/>
        <v>2.38</v>
      </c>
      <c r="N134" s="157">
        <f t="shared" si="20"/>
        <v>2.38</v>
      </c>
      <c r="O134" s="157" t="str">
        <f t="shared" si="23"/>
        <v/>
      </c>
      <c r="P134" s="158" t="str">
        <f t="shared" si="21"/>
        <v/>
      </c>
      <c r="Q134" s="157" t="str">
        <f t="shared" si="24"/>
        <v/>
      </c>
      <c r="R134" s="157" t="str">
        <f t="shared" si="25"/>
        <v/>
      </c>
    </row>
    <row r="135" spans="1:18" ht="25.5" x14ac:dyDescent="0.2">
      <c r="A135" s="243" t="s">
        <v>30</v>
      </c>
      <c r="B135" s="216" t="s">
        <v>326</v>
      </c>
      <c r="C135" s="243" t="str">
        <f>VLOOKUP(B135,INSUMOS!$A:$I,2,FALSE)</f>
        <v>SINAPI</v>
      </c>
      <c r="D135" s="243" t="str">
        <f>VLOOKUP(B135,INSUMOS!$A:$I,3,FALSE)</f>
        <v>CONDULETE DE ALUMINIO TIPO X, PARA ELETRODUTO ROSCAVEL DE 3", COM TAMPA CEGA</v>
      </c>
      <c r="E135" s="281" t="str">
        <f>VLOOKUP(B135,INSUMOS!$A:$I,4,FALSE)</f>
        <v>Material</v>
      </c>
      <c r="F135" s="281"/>
      <c r="G135" s="215" t="str">
        <f>VLOOKUP(B135,INSUMOS!$A:$I,5,FALSE)</f>
        <v>UN</v>
      </c>
      <c r="H135" s="218">
        <v>1</v>
      </c>
      <c r="I135" s="217">
        <f>VLOOKUP(B135,INSUMOS!$A:$I,8,FALSE)</f>
        <v>104.77</v>
      </c>
      <c r="J135" s="217">
        <f>TRUNC(H135*I135,2)</f>
        <v>104.77</v>
      </c>
      <c r="L135" s="149">
        <f t="shared" si="18"/>
        <v>12</v>
      </c>
      <c r="M135" s="156">
        <f t="shared" si="19"/>
        <v>104.77</v>
      </c>
      <c r="N135" s="157" t="str">
        <f t="shared" si="20"/>
        <v/>
      </c>
      <c r="O135" s="157">
        <f t="shared" si="23"/>
        <v>104.77</v>
      </c>
      <c r="P135" s="158" t="str">
        <f t="shared" si="21"/>
        <v/>
      </c>
      <c r="Q135" s="157" t="str">
        <f t="shared" si="24"/>
        <v/>
      </c>
      <c r="R135" s="157" t="str">
        <f t="shared" si="25"/>
        <v/>
      </c>
    </row>
    <row r="136" spans="1:18" x14ac:dyDescent="0.2">
      <c r="A136" s="246"/>
      <c r="B136" s="246"/>
      <c r="C136" s="246"/>
      <c r="D136" s="246"/>
      <c r="E136" s="246"/>
      <c r="F136" s="222"/>
      <c r="G136" s="246"/>
      <c r="H136" s="222"/>
      <c r="I136" s="246"/>
      <c r="J136" s="222"/>
      <c r="L136" s="149">
        <f t="shared" si="18"/>
        <v>12</v>
      </c>
      <c r="M136" s="156" t="str">
        <f t="shared" si="19"/>
        <v/>
      </c>
      <c r="N136" s="157" t="str">
        <f t="shared" si="20"/>
        <v/>
      </c>
      <c r="O136" s="157" t="str">
        <f t="shared" si="23"/>
        <v/>
      </c>
      <c r="P136" s="158" t="str">
        <f t="shared" si="21"/>
        <v/>
      </c>
      <c r="Q136" s="157" t="str">
        <f t="shared" si="24"/>
        <v/>
      </c>
      <c r="R136" s="157" t="str">
        <f t="shared" si="25"/>
        <v/>
      </c>
    </row>
    <row r="137" spans="1:18" ht="14.25" customHeight="1" x14ac:dyDescent="0.2">
      <c r="A137" s="246"/>
      <c r="B137" s="246"/>
      <c r="C137" s="246"/>
      <c r="D137" s="246"/>
      <c r="E137" s="246"/>
      <c r="F137" s="222"/>
      <c r="G137" s="246"/>
      <c r="H137" s="282" t="s">
        <v>39</v>
      </c>
      <c r="I137" s="282"/>
      <c r="J137" s="222">
        <f>TRUNC(SUMIF(L:L,$L137,M:M)*(1+$J$9),2)</f>
        <v>134.71</v>
      </c>
      <c r="L137" s="149">
        <f t="shared" si="18"/>
        <v>12</v>
      </c>
      <c r="M137" s="156" t="str">
        <f t="shared" si="19"/>
        <v/>
      </c>
      <c r="N137" s="157" t="str">
        <f t="shared" si="20"/>
        <v/>
      </c>
      <c r="O137" s="157" t="str">
        <f t="shared" si="23"/>
        <v/>
      </c>
      <c r="P137" s="158" t="str">
        <f t="shared" si="21"/>
        <v/>
      </c>
      <c r="Q137" s="157" t="str">
        <f t="shared" si="24"/>
        <v/>
      </c>
      <c r="R137" s="157" t="str">
        <f t="shared" si="25"/>
        <v/>
      </c>
    </row>
    <row r="138" spans="1:18" ht="15" thickBot="1" x14ac:dyDescent="0.25">
      <c r="A138" s="219"/>
      <c r="B138" s="219"/>
      <c r="C138" s="219"/>
      <c r="D138" s="219"/>
      <c r="E138" s="219"/>
      <c r="F138" s="219"/>
      <c r="G138" s="219" t="s">
        <v>40</v>
      </c>
      <c r="H138" s="221">
        <v>7</v>
      </c>
      <c r="I138" s="219" t="s">
        <v>41</v>
      </c>
      <c r="J138" s="220">
        <f>TRUNC(J137*H138,2)</f>
        <v>942.97</v>
      </c>
      <c r="L138" s="149">
        <f t="shared" si="18"/>
        <v>12</v>
      </c>
      <c r="M138" s="156" t="str">
        <f t="shared" si="19"/>
        <v/>
      </c>
      <c r="N138" s="157" t="str">
        <f t="shared" si="20"/>
        <v/>
      </c>
      <c r="O138" s="157" t="str">
        <f t="shared" si="23"/>
        <v/>
      </c>
      <c r="P138" s="158" t="str">
        <f t="shared" si="21"/>
        <v/>
      </c>
      <c r="Q138" s="157" t="str">
        <f t="shared" si="24"/>
        <v/>
      </c>
      <c r="R138" s="157" t="str">
        <f t="shared" si="25"/>
        <v/>
      </c>
    </row>
    <row r="139" spans="1:18" ht="15" thickTop="1" x14ac:dyDescent="0.2">
      <c r="A139" s="210"/>
      <c r="B139" s="210"/>
      <c r="C139" s="210"/>
      <c r="D139" s="210"/>
      <c r="E139" s="210"/>
      <c r="F139" s="210"/>
      <c r="G139" s="210"/>
      <c r="H139" s="210"/>
      <c r="I139" s="210"/>
      <c r="J139" s="210"/>
      <c r="L139" s="149">
        <f t="shared" si="18"/>
        <v>13</v>
      </c>
      <c r="M139" s="156" t="str">
        <f t="shared" si="19"/>
        <v/>
      </c>
      <c r="N139" s="157" t="str">
        <f t="shared" si="20"/>
        <v/>
      </c>
      <c r="O139" s="157" t="str">
        <f t="shared" si="23"/>
        <v/>
      </c>
      <c r="P139" s="158" t="str">
        <f t="shared" si="21"/>
        <v/>
      </c>
      <c r="Q139" s="157" t="str">
        <f t="shared" si="24"/>
        <v/>
      </c>
      <c r="R139" s="157" t="str">
        <f t="shared" si="25"/>
        <v/>
      </c>
    </row>
    <row r="140" spans="1:18" x14ac:dyDescent="0.2">
      <c r="A140" s="249" t="s">
        <v>461</v>
      </c>
      <c r="B140" s="249"/>
      <c r="C140" s="249"/>
      <c r="D140" s="249" t="s">
        <v>462</v>
      </c>
      <c r="E140" s="249"/>
      <c r="F140" s="286"/>
      <c r="G140" s="286"/>
      <c r="H140" s="204"/>
      <c r="I140" s="249"/>
      <c r="J140" s="205"/>
      <c r="L140" s="149">
        <f t="shared" si="18"/>
        <v>13</v>
      </c>
      <c r="M140" s="156" t="str">
        <f t="shared" si="19"/>
        <v/>
      </c>
      <c r="N140" s="157" t="str">
        <f t="shared" si="20"/>
        <v/>
      </c>
      <c r="O140" s="157" t="str">
        <f t="shared" si="23"/>
        <v/>
      </c>
      <c r="P140" s="158" t="str">
        <f t="shared" si="21"/>
        <v/>
      </c>
      <c r="Q140" s="157" t="str">
        <f t="shared" si="24"/>
        <v/>
      </c>
      <c r="R140" s="157" t="str">
        <f t="shared" si="25"/>
        <v/>
      </c>
    </row>
    <row r="141" spans="1:18" ht="15" x14ac:dyDescent="0.2">
      <c r="A141" s="245" t="s">
        <v>463</v>
      </c>
      <c r="B141" s="203" t="s">
        <v>1</v>
      </c>
      <c r="C141" s="245" t="s">
        <v>2</v>
      </c>
      <c r="D141" s="245" t="s">
        <v>3</v>
      </c>
      <c r="E141" s="284" t="s">
        <v>17</v>
      </c>
      <c r="F141" s="284"/>
      <c r="G141" s="202" t="s">
        <v>4</v>
      </c>
      <c r="H141" s="203" t="s">
        <v>5</v>
      </c>
      <c r="I141" s="203" t="s">
        <v>6</v>
      </c>
      <c r="J141" s="203" t="s">
        <v>7</v>
      </c>
      <c r="L141" s="149">
        <f t="shared" si="18"/>
        <v>13</v>
      </c>
      <c r="M141" s="156" t="str">
        <f t="shared" si="19"/>
        <v/>
      </c>
      <c r="N141" s="157" t="str">
        <f t="shared" si="20"/>
        <v/>
      </c>
      <c r="O141" s="157" t="str">
        <f t="shared" si="23"/>
        <v/>
      </c>
      <c r="P141" s="158" t="str">
        <f t="shared" si="21"/>
        <v/>
      </c>
      <c r="Q141" s="157" t="str">
        <f t="shared" si="24"/>
        <v/>
      </c>
      <c r="R141" s="157" t="str">
        <f t="shared" si="25"/>
        <v/>
      </c>
    </row>
    <row r="142" spans="1:18" ht="14.25" customHeight="1" x14ac:dyDescent="0.2">
      <c r="A142" s="247" t="s">
        <v>18</v>
      </c>
      <c r="B142" s="207" t="s">
        <v>464</v>
      </c>
      <c r="C142" s="247" t="s">
        <v>8</v>
      </c>
      <c r="D142" s="247" t="s">
        <v>465</v>
      </c>
      <c r="E142" s="285" t="s">
        <v>268</v>
      </c>
      <c r="F142" s="285"/>
      <c r="G142" s="206" t="s">
        <v>14</v>
      </c>
      <c r="H142" s="209">
        <v>1</v>
      </c>
      <c r="I142" s="208">
        <f>SUMIF(L:L,$L142,M:M)</f>
        <v>19.64</v>
      </c>
      <c r="J142" s="208">
        <f>TRUNC(H142*I142,2)</f>
        <v>19.64</v>
      </c>
      <c r="L142" s="149">
        <f t="shared" si="18"/>
        <v>13</v>
      </c>
      <c r="M142" s="156" t="str">
        <f t="shared" si="19"/>
        <v/>
      </c>
      <c r="N142" s="157" t="str">
        <f t="shared" si="20"/>
        <v/>
      </c>
      <c r="O142" s="157" t="str">
        <f t="shared" si="23"/>
        <v/>
      </c>
      <c r="P142" s="158" t="str">
        <f t="shared" si="21"/>
        <v xml:space="preserve"> 04.02.01 </v>
      </c>
      <c r="Q142" s="157">
        <f t="shared" si="24"/>
        <v>6.18</v>
      </c>
      <c r="R142" s="157">
        <f t="shared" si="25"/>
        <v>13.46</v>
      </c>
    </row>
    <row r="143" spans="1:18" ht="25.5" x14ac:dyDescent="0.2">
      <c r="A143" s="244" t="s">
        <v>20</v>
      </c>
      <c r="B143" s="212" t="s">
        <v>264</v>
      </c>
      <c r="C143" s="244" t="s">
        <v>8</v>
      </c>
      <c r="D143" s="244" t="s">
        <v>265</v>
      </c>
      <c r="E143" s="283" t="s">
        <v>26</v>
      </c>
      <c r="F143" s="283"/>
      <c r="G143" s="211" t="s">
        <v>27</v>
      </c>
      <c r="H143" s="214">
        <v>0.17</v>
      </c>
      <c r="I143" s="213">
        <f>SUMIFS('ANALÍTICA AUXILIARES'!J:J,'ANALÍTICA AUXILIARES'!A:A,"Composição",'ANALÍTICA AUXILIARES'!B:B,$B143)</f>
        <v>15.91</v>
      </c>
      <c r="J143" s="213">
        <f>TRUNC(H143*I143,2)</f>
        <v>2.7</v>
      </c>
      <c r="L143" s="149">
        <f t="shared" ref="L143:L206" si="27">IF(AND(A144&lt;&gt;"",A143=""),L142+1,L142)</f>
        <v>13</v>
      </c>
      <c r="M143" s="156">
        <f t="shared" ref="M143:M206" si="28">IF(OR(A143="Insumo",A143="Composição Auxiliar"),J143,"")</f>
        <v>2.7</v>
      </c>
      <c r="N143" s="157">
        <f t="shared" ref="N143:N206" si="29">IF(ISNUMBER(SEARCH("COM ENCARGOS COMPLEMENTARES",D143)),J143,"")</f>
        <v>2.7</v>
      </c>
      <c r="O143" s="157" t="str">
        <f t="shared" si="23"/>
        <v/>
      </c>
      <c r="P143" s="158" t="str">
        <f t="shared" ref="P143:P206" si="30">IF(A143="Composição",A142,"")</f>
        <v/>
      </c>
      <c r="Q143" s="157" t="str">
        <f t="shared" si="24"/>
        <v/>
      </c>
      <c r="R143" s="157" t="str">
        <f t="shared" si="25"/>
        <v/>
      </c>
    </row>
    <row r="144" spans="1:18" ht="14.25" customHeight="1" x14ac:dyDescent="0.2">
      <c r="A144" s="244" t="s">
        <v>20</v>
      </c>
      <c r="B144" s="212" t="s">
        <v>269</v>
      </c>
      <c r="C144" s="244" t="s">
        <v>8</v>
      </c>
      <c r="D144" s="244" t="s">
        <v>270</v>
      </c>
      <c r="E144" s="283" t="s">
        <v>26</v>
      </c>
      <c r="F144" s="283"/>
      <c r="G144" s="211" t="s">
        <v>27</v>
      </c>
      <c r="H144" s="214">
        <v>0.17</v>
      </c>
      <c r="I144" s="213">
        <f>SUMIFS('ANALÍTICA AUXILIARES'!J:J,'ANALÍTICA AUXILIARES'!A:A,"Composição",'ANALÍTICA AUXILIARES'!B:B,$B144)</f>
        <v>20.51</v>
      </c>
      <c r="J144" s="213">
        <f>TRUNC(H144*I144,2)</f>
        <v>3.48</v>
      </c>
      <c r="L144" s="149">
        <f t="shared" si="27"/>
        <v>13</v>
      </c>
      <c r="M144" s="156">
        <f t="shared" si="28"/>
        <v>3.48</v>
      </c>
      <c r="N144" s="157">
        <f t="shared" si="29"/>
        <v>3.48</v>
      </c>
      <c r="O144" s="157" t="str">
        <f t="shared" si="23"/>
        <v/>
      </c>
      <c r="P144" s="158" t="str">
        <f t="shared" si="30"/>
        <v/>
      </c>
      <c r="Q144" s="157" t="str">
        <f t="shared" si="24"/>
        <v/>
      </c>
      <c r="R144" s="157" t="str">
        <f t="shared" si="25"/>
        <v/>
      </c>
    </row>
    <row r="145" spans="1:18" x14ac:dyDescent="0.2">
      <c r="A145" s="243" t="s">
        <v>30</v>
      </c>
      <c r="B145" s="216" t="s">
        <v>305</v>
      </c>
      <c r="C145" s="243" t="str">
        <f>VLOOKUP(B145,INSUMOS!$A:$I,2,FALSE)</f>
        <v>SINAPI</v>
      </c>
      <c r="D145" s="243" t="str">
        <f>VLOOKUP(B145,INSUMOS!$A:$I,3,FALSE)</f>
        <v>CABO DE COBRE NU 25 MM2 MEIO-DURO</v>
      </c>
      <c r="E145" s="281" t="str">
        <f>VLOOKUP(B145,INSUMOS!$A:$I,4,FALSE)</f>
        <v>Material</v>
      </c>
      <c r="F145" s="281"/>
      <c r="G145" s="215" t="str">
        <f>VLOOKUP(B145,INSUMOS!$A:$I,5,FALSE)</f>
        <v>M</v>
      </c>
      <c r="H145" s="218">
        <v>1.02</v>
      </c>
      <c r="I145" s="217">
        <f>VLOOKUP(B145,INSUMOS!$A:$I,8,FALSE)</f>
        <v>13.2</v>
      </c>
      <c r="J145" s="217">
        <f>TRUNC(H145*I145,2)</f>
        <v>13.46</v>
      </c>
      <c r="L145" s="149">
        <f t="shared" si="27"/>
        <v>13</v>
      </c>
      <c r="M145" s="156">
        <f t="shared" si="28"/>
        <v>13.46</v>
      </c>
      <c r="N145" s="157" t="str">
        <f t="shared" si="29"/>
        <v/>
      </c>
      <c r="O145" s="157">
        <f t="shared" si="23"/>
        <v>13.46</v>
      </c>
      <c r="P145" s="158" t="str">
        <f t="shared" si="30"/>
        <v/>
      </c>
      <c r="Q145" s="157" t="str">
        <f t="shared" si="24"/>
        <v/>
      </c>
      <c r="R145" s="157" t="str">
        <f t="shared" si="25"/>
        <v/>
      </c>
    </row>
    <row r="146" spans="1:18" ht="38.25" customHeight="1" x14ac:dyDescent="0.2">
      <c r="A146" s="246"/>
      <c r="B146" s="246"/>
      <c r="C146" s="246"/>
      <c r="D146" s="246"/>
      <c r="E146" s="246"/>
      <c r="F146" s="222"/>
      <c r="G146" s="246"/>
      <c r="H146" s="222"/>
      <c r="I146" s="246"/>
      <c r="J146" s="222"/>
      <c r="L146" s="149">
        <f t="shared" si="27"/>
        <v>13</v>
      </c>
      <c r="M146" s="156" t="str">
        <f t="shared" si="28"/>
        <v/>
      </c>
      <c r="N146" s="157" t="str">
        <f t="shared" si="29"/>
        <v/>
      </c>
      <c r="O146" s="157" t="str">
        <f t="shared" si="23"/>
        <v/>
      </c>
      <c r="P146" s="158" t="str">
        <f t="shared" si="30"/>
        <v/>
      </c>
      <c r="Q146" s="157" t="str">
        <f t="shared" si="24"/>
        <v/>
      </c>
      <c r="R146" s="157" t="str">
        <f t="shared" si="25"/>
        <v/>
      </c>
    </row>
    <row r="147" spans="1:18" ht="14.25" customHeight="1" x14ac:dyDescent="0.2">
      <c r="A147" s="246"/>
      <c r="B147" s="246"/>
      <c r="C147" s="246"/>
      <c r="D147" s="246"/>
      <c r="E147" s="246"/>
      <c r="F147" s="222"/>
      <c r="G147" s="246"/>
      <c r="H147" s="282" t="s">
        <v>39</v>
      </c>
      <c r="I147" s="282"/>
      <c r="J147" s="222">
        <f>TRUNC(SUMIF(L:L,$L147,M:M)*(1+$J$9),2)</f>
        <v>24</v>
      </c>
      <c r="L147" s="149">
        <f t="shared" si="27"/>
        <v>13</v>
      </c>
      <c r="M147" s="156" t="str">
        <f t="shared" si="28"/>
        <v/>
      </c>
      <c r="N147" s="157" t="str">
        <f t="shared" si="29"/>
        <v/>
      </c>
      <c r="O147" s="157" t="str">
        <f t="shared" si="23"/>
        <v/>
      </c>
      <c r="P147" s="158" t="str">
        <f t="shared" si="30"/>
        <v/>
      </c>
      <c r="Q147" s="157" t="str">
        <f t="shared" si="24"/>
        <v/>
      </c>
      <c r="R147" s="157" t="str">
        <f t="shared" si="25"/>
        <v/>
      </c>
    </row>
    <row r="148" spans="1:18" ht="15" thickBot="1" x14ac:dyDescent="0.25">
      <c r="A148" s="219"/>
      <c r="B148" s="219"/>
      <c r="C148" s="219"/>
      <c r="D148" s="219"/>
      <c r="E148" s="219"/>
      <c r="F148" s="219"/>
      <c r="G148" s="219" t="s">
        <v>40</v>
      </c>
      <c r="H148" s="221">
        <v>185</v>
      </c>
      <c r="I148" s="219" t="s">
        <v>41</v>
      </c>
      <c r="J148" s="220">
        <f>TRUNC(J147*H148,2)</f>
        <v>4440</v>
      </c>
      <c r="L148" s="149">
        <f t="shared" si="27"/>
        <v>13</v>
      </c>
      <c r="M148" s="156" t="str">
        <f t="shared" si="28"/>
        <v/>
      </c>
      <c r="N148" s="157" t="str">
        <f t="shared" si="29"/>
        <v/>
      </c>
      <c r="O148" s="157" t="str">
        <f t="shared" si="23"/>
        <v/>
      </c>
      <c r="P148" s="158" t="str">
        <f t="shared" si="30"/>
        <v/>
      </c>
      <c r="Q148" s="157" t="str">
        <f t="shared" si="24"/>
        <v/>
      </c>
      <c r="R148" s="157" t="str">
        <f t="shared" si="25"/>
        <v/>
      </c>
    </row>
    <row r="149" spans="1:18" ht="15" thickTop="1" x14ac:dyDescent="0.2">
      <c r="A149" s="210"/>
      <c r="B149" s="210"/>
      <c r="C149" s="210"/>
      <c r="D149" s="210"/>
      <c r="E149" s="210"/>
      <c r="F149" s="210"/>
      <c r="G149" s="210"/>
      <c r="H149" s="210"/>
      <c r="I149" s="210"/>
      <c r="J149" s="210"/>
      <c r="L149" s="149">
        <f t="shared" si="27"/>
        <v>14</v>
      </c>
      <c r="M149" s="156" t="str">
        <f t="shared" si="28"/>
        <v/>
      </c>
      <c r="N149" s="157" t="str">
        <f t="shared" si="29"/>
        <v/>
      </c>
      <c r="O149" s="157" t="str">
        <f t="shared" si="23"/>
        <v/>
      </c>
      <c r="P149" s="158" t="str">
        <f t="shared" si="30"/>
        <v/>
      </c>
      <c r="Q149" s="157" t="str">
        <f t="shared" si="24"/>
        <v/>
      </c>
      <c r="R149" s="157" t="str">
        <f t="shared" si="25"/>
        <v/>
      </c>
    </row>
    <row r="150" spans="1:18" ht="15" x14ac:dyDescent="0.2">
      <c r="A150" s="245" t="s">
        <v>466</v>
      </c>
      <c r="B150" s="203" t="s">
        <v>1</v>
      </c>
      <c r="C150" s="245" t="s">
        <v>2</v>
      </c>
      <c r="D150" s="245" t="s">
        <v>3</v>
      </c>
      <c r="E150" s="284" t="s">
        <v>17</v>
      </c>
      <c r="F150" s="284"/>
      <c r="G150" s="202" t="s">
        <v>4</v>
      </c>
      <c r="H150" s="203" t="s">
        <v>5</v>
      </c>
      <c r="I150" s="203" t="s">
        <v>6</v>
      </c>
      <c r="J150" s="203" t="s">
        <v>7</v>
      </c>
      <c r="L150" s="149">
        <f t="shared" si="27"/>
        <v>14</v>
      </c>
      <c r="M150" s="156" t="str">
        <f t="shared" si="28"/>
        <v/>
      </c>
      <c r="N150" s="157" t="str">
        <f t="shared" si="29"/>
        <v/>
      </c>
      <c r="O150" s="157" t="str">
        <f t="shared" si="23"/>
        <v/>
      </c>
      <c r="P150" s="158" t="str">
        <f t="shared" si="30"/>
        <v/>
      </c>
      <c r="Q150" s="157" t="str">
        <f t="shared" si="24"/>
        <v/>
      </c>
      <c r="R150" s="157" t="str">
        <f t="shared" si="25"/>
        <v/>
      </c>
    </row>
    <row r="151" spans="1:18" ht="14.25" customHeight="1" x14ac:dyDescent="0.2">
      <c r="A151" s="247" t="s">
        <v>18</v>
      </c>
      <c r="B151" s="207" t="s">
        <v>467</v>
      </c>
      <c r="C151" s="247" t="s">
        <v>11</v>
      </c>
      <c r="D151" s="247" t="s">
        <v>468</v>
      </c>
      <c r="E151" s="285" t="s">
        <v>268</v>
      </c>
      <c r="F151" s="285"/>
      <c r="G151" s="206" t="s">
        <v>291</v>
      </c>
      <c r="H151" s="209">
        <v>1</v>
      </c>
      <c r="I151" s="208">
        <f>SUMIF(L:L,$L151,M:M)</f>
        <v>21.85</v>
      </c>
      <c r="J151" s="208">
        <f t="shared" ref="J151:J158" si="31">TRUNC(H151*I151,2)</f>
        <v>21.85</v>
      </c>
      <c r="L151" s="149">
        <f t="shared" si="27"/>
        <v>14</v>
      </c>
      <c r="M151" s="156" t="str">
        <f t="shared" si="28"/>
        <v/>
      </c>
      <c r="N151" s="157" t="str">
        <f t="shared" si="29"/>
        <v/>
      </c>
      <c r="O151" s="157" t="str">
        <f t="shared" si="23"/>
        <v/>
      </c>
      <c r="P151" s="158" t="str">
        <f t="shared" si="30"/>
        <v xml:space="preserve"> 04.02.02 </v>
      </c>
      <c r="Q151" s="157">
        <f t="shared" si="24"/>
        <v>7.2799999999999994</v>
      </c>
      <c r="R151" s="157">
        <f t="shared" si="25"/>
        <v>14.57</v>
      </c>
    </row>
    <row r="152" spans="1:18" ht="25.5" x14ac:dyDescent="0.2">
      <c r="A152" s="244" t="s">
        <v>20</v>
      </c>
      <c r="B152" s="212" t="s">
        <v>269</v>
      </c>
      <c r="C152" s="244" t="s">
        <v>8</v>
      </c>
      <c r="D152" s="244" t="s">
        <v>270</v>
      </c>
      <c r="E152" s="283" t="s">
        <v>26</v>
      </c>
      <c r="F152" s="283"/>
      <c r="G152" s="211" t="s">
        <v>27</v>
      </c>
      <c r="H152" s="214">
        <v>0.2</v>
      </c>
      <c r="I152" s="213">
        <f>SUMIFS('ANALÍTICA AUXILIARES'!J:J,'ANALÍTICA AUXILIARES'!A:A,"Composição",'ANALÍTICA AUXILIARES'!B:B,$B152)</f>
        <v>20.51</v>
      </c>
      <c r="J152" s="213">
        <f t="shared" si="31"/>
        <v>4.0999999999999996</v>
      </c>
      <c r="L152" s="149">
        <f t="shared" si="27"/>
        <v>14</v>
      </c>
      <c r="M152" s="156">
        <f t="shared" si="28"/>
        <v>4.0999999999999996</v>
      </c>
      <c r="N152" s="157">
        <f t="shared" si="29"/>
        <v>4.0999999999999996</v>
      </c>
      <c r="O152" s="157" t="str">
        <f t="shared" si="23"/>
        <v/>
      </c>
      <c r="P152" s="158" t="str">
        <f t="shared" si="30"/>
        <v/>
      </c>
      <c r="Q152" s="157" t="str">
        <f t="shared" si="24"/>
        <v/>
      </c>
      <c r="R152" s="157" t="str">
        <f t="shared" si="25"/>
        <v/>
      </c>
    </row>
    <row r="153" spans="1:18" ht="25.5" x14ac:dyDescent="0.2">
      <c r="A153" s="244" t="s">
        <v>20</v>
      </c>
      <c r="B153" s="212" t="s">
        <v>264</v>
      </c>
      <c r="C153" s="244" t="s">
        <v>8</v>
      </c>
      <c r="D153" s="244" t="s">
        <v>265</v>
      </c>
      <c r="E153" s="283" t="s">
        <v>26</v>
      </c>
      <c r="F153" s="283"/>
      <c r="G153" s="211" t="s">
        <v>27</v>
      </c>
      <c r="H153" s="214">
        <v>0.2</v>
      </c>
      <c r="I153" s="213">
        <f>SUMIFS('ANALÍTICA AUXILIARES'!J:J,'ANALÍTICA AUXILIARES'!A:A,"Composição",'ANALÍTICA AUXILIARES'!B:B,$B153)</f>
        <v>15.91</v>
      </c>
      <c r="J153" s="213">
        <f t="shared" si="31"/>
        <v>3.18</v>
      </c>
      <c r="L153" s="149">
        <f t="shared" si="27"/>
        <v>14</v>
      </c>
      <c r="M153" s="156">
        <f t="shared" si="28"/>
        <v>3.18</v>
      </c>
      <c r="N153" s="157">
        <f t="shared" si="29"/>
        <v>3.18</v>
      </c>
      <c r="O153" s="157" t="str">
        <f t="shared" si="23"/>
        <v/>
      </c>
      <c r="P153" s="158" t="str">
        <f t="shared" si="30"/>
        <v/>
      </c>
      <c r="Q153" s="157" t="str">
        <f t="shared" si="24"/>
        <v/>
      </c>
      <c r="R153" s="157" t="str">
        <f t="shared" si="25"/>
        <v/>
      </c>
    </row>
    <row r="154" spans="1:18" ht="25.5" x14ac:dyDescent="0.2">
      <c r="A154" s="243" t="s">
        <v>30</v>
      </c>
      <c r="B154" s="216" t="s">
        <v>329</v>
      </c>
      <c r="C154" s="243" t="str">
        <f>VLOOKUP(B154,INSUMOS!$A:$I,2,FALSE)</f>
        <v>SINAPI</v>
      </c>
      <c r="D154" s="243" t="str">
        <f>VLOOKUP(B154,INSUMOS!$A:$I,3,FALSE)</f>
        <v>TERMINAL METALICO A PRESSAO PARA 1 CABO DE 16 MM2, COM 1 FURO DE FIXACAO</v>
      </c>
      <c r="E154" s="281" t="str">
        <f>VLOOKUP(B154,INSUMOS!$A:$I,4,FALSE)</f>
        <v>Material</v>
      </c>
      <c r="F154" s="281"/>
      <c r="G154" s="215" t="str">
        <f>VLOOKUP(B154,INSUMOS!$A:$I,5,FALSE)</f>
        <v>UN</v>
      </c>
      <c r="H154" s="218">
        <v>1</v>
      </c>
      <c r="I154" s="217">
        <f>VLOOKUP(B154,INSUMOS!$A:$I,8,FALSE)</f>
        <v>3.09</v>
      </c>
      <c r="J154" s="217">
        <f t="shared" si="31"/>
        <v>3.09</v>
      </c>
      <c r="L154" s="149">
        <f t="shared" si="27"/>
        <v>14</v>
      </c>
      <c r="M154" s="156">
        <f t="shared" si="28"/>
        <v>3.09</v>
      </c>
      <c r="N154" s="157" t="str">
        <f t="shared" si="29"/>
        <v/>
      </c>
      <c r="O154" s="157">
        <f t="shared" si="23"/>
        <v>3.09</v>
      </c>
      <c r="P154" s="158" t="str">
        <f t="shared" si="30"/>
        <v/>
      </c>
      <c r="Q154" s="157" t="str">
        <f t="shared" si="24"/>
        <v/>
      </c>
      <c r="R154" s="157" t="str">
        <f t="shared" si="25"/>
        <v/>
      </c>
    </row>
    <row r="155" spans="1:18" ht="25.5" customHeight="1" x14ac:dyDescent="0.2">
      <c r="A155" s="243" t="s">
        <v>30</v>
      </c>
      <c r="B155" s="216" t="s">
        <v>359</v>
      </c>
      <c r="C155" s="243" t="str">
        <f>VLOOKUP(B155,INSUMOS!$A:$I,2,FALSE)</f>
        <v>ORSE</v>
      </c>
      <c r="D155" s="243" t="str">
        <f>VLOOKUP(B155,INSUMOS!$A:$I,3,FALSE)</f>
        <v>Arruela lisa em aço inox 1/4"</v>
      </c>
      <c r="E155" s="281" t="str">
        <f>VLOOKUP(B155,INSUMOS!$A:$I,4,FALSE)</f>
        <v>Material</v>
      </c>
      <c r="F155" s="281"/>
      <c r="G155" s="215" t="str">
        <f>VLOOKUP(B155,INSUMOS!$A:$I,5,FALSE)</f>
        <v>un</v>
      </c>
      <c r="H155" s="218">
        <v>2</v>
      </c>
      <c r="I155" s="217">
        <f>VLOOKUP(B155,INSUMOS!$A:$I,8,FALSE)</f>
        <v>0.28000000000000003</v>
      </c>
      <c r="J155" s="217">
        <f t="shared" si="31"/>
        <v>0.56000000000000005</v>
      </c>
      <c r="L155" s="149">
        <f t="shared" si="27"/>
        <v>14</v>
      </c>
      <c r="M155" s="156">
        <f t="shared" si="28"/>
        <v>0.56000000000000005</v>
      </c>
      <c r="N155" s="157" t="str">
        <f t="shared" si="29"/>
        <v/>
      </c>
      <c r="O155" s="157">
        <f t="shared" si="23"/>
        <v>0.56000000000000005</v>
      </c>
      <c r="P155" s="158" t="str">
        <f t="shared" si="30"/>
        <v/>
      </c>
      <c r="Q155" s="157" t="str">
        <f t="shared" si="24"/>
        <v/>
      </c>
      <c r="R155" s="157" t="str">
        <f t="shared" si="25"/>
        <v/>
      </c>
    </row>
    <row r="156" spans="1:18" x14ac:dyDescent="0.2">
      <c r="A156" s="243" t="s">
        <v>30</v>
      </c>
      <c r="B156" s="216" t="s">
        <v>362</v>
      </c>
      <c r="C156" s="243" t="str">
        <f>VLOOKUP(B156,INSUMOS!$A:$I,2,FALSE)</f>
        <v>ORSE</v>
      </c>
      <c r="D156" s="243" t="str">
        <f>VLOOKUP(B156,INSUMOS!$A:$I,3,FALSE)</f>
        <v>Parafuso em aço inox, cabeça sextavada 1/4" x 1 1/4"</v>
      </c>
      <c r="E156" s="281" t="str">
        <f>VLOOKUP(B156,INSUMOS!$A:$I,4,FALSE)</f>
        <v>Material</v>
      </c>
      <c r="F156" s="281"/>
      <c r="G156" s="215" t="str">
        <f>VLOOKUP(B156,INSUMOS!$A:$I,5,FALSE)</f>
        <v>un</v>
      </c>
      <c r="H156" s="218">
        <v>1</v>
      </c>
      <c r="I156" s="217">
        <f>VLOOKUP(B156,INSUMOS!$A:$I,8,FALSE)</f>
        <v>0.52</v>
      </c>
      <c r="J156" s="217">
        <f t="shared" si="31"/>
        <v>0.52</v>
      </c>
      <c r="L156" s="149">
        <f t="shared" si="27"/>
        <v>14</v>
      </c>
      <c r="M156" s="156">
        <f t="shared" si="28"/>
        <v>0.52</v>
      </c>
      <c r="N156" s="157" t="str">
        <f t="shared" si="29"/>
        <v/>
      </c>
      <c r="O156" s="157">
        <f t="shared" si="23"/>
        <v>0.52</v>
      </c>
      <c r="P156" s="158" t="str">
        <f t="shared" si="30"/>
        <v/>
      </c>
      <c r="Q156" s="157" t="str">
        <f t="shared" si="24"/>
        <v/>
      </c>
      <c r="R156" s="157" t="str">
        <f t="shared" si="25"/>
        <v/>
      </c>
    </row>
    <row r="157" spans="1:18" x14ac:dyDescent="0.2">
      <c r="A157" s="243" t="s">
        <v>30</v>
      </c>
      <c r="B157" s="216" t="s">
        <v>386</v>
      </c>
      <c r="C157" s="243" t="str">
        <f>VLOOKUP(B157,INSUMOS!$A:$I,2,FALSE)</f>
        <v>ORSE</v>
      </c>
      <c r="D157" s="243" t="str">
        <f>VLOOKUP(B157,INSUMOS!$A:$I,3,FALSE)</f>
        <v>Porca em aço inox sextavada 1/4"</v>
      </c>
      <c r="E157" s="281" t="str">
        <f>VLOOKUP(B157,INSUMOS!$A:$I,4,FALSE)</f>
        <v>Material</v>
      </c>
      <c r="F157" s="281"/>
      <c r="G157" s="215" t="str">
        <f>VLOOKUP(B157,INSUMOS!$A:$I,5,FALSE)</f>
        <v>un</v>
      </c>
      <c r="H157" s="218">
        <v>1</v>
      </c>
      <c r="I157" s="217">
        <f>VLOOKUP(B157,INSUMOS!$A:$I,8,FALSE)</f>
        <v>0.14000000000000001</v>
      </c>
      <c r="J157" s="217">
        <f t="shared" si="31"/>
        <v>0.14000000000000001</v>
      </c>
      <c r="L157" s="149">
        <f t="shared" si="27"/>
        <v>14</v>
      </c>
      <c r="M157" s="156">
        <f t="shared" si="28"/>
        <v>0.14000000000000001</v>
      </c>
      <c r="N157" s="157" t="str">
        <f t="shared" si="29"/>
        <v/>
      </c>
      <c r="O157" s="157">
        <f t="shared" si="23"/>
        <v>0.14000000000000001</v>
      </c>
      <c r="P157" s="158" t="str">
        <f t="shared" si="30"/>
        <v/>
      </c>
      <c r="Q157" s="157" t="str">
        <f t="shared" si="24"/>
        <v/>
      </c>
      <c r="R157" s="157" t="str">
        <f t="shared" si="25"/>
        <v/>
      </c>
    </row>
    <row r="158" spans="1:18" ht="14.25" customHeight="1" x14ac:dyDescent="0.2">
      <c r="A158" s="243" t="s">
        <v>30</v>
      </c>
      <c r="B158" s="216" t="s">
        <v>225</v>
      </c>
      <c r="C158" s="243" t="str">
        <f>VLOOKUP(B158,INSUMOS!$A:$I,2,FALSE)</f>
        <v>SINAPI</v>
      </c>
      <c r="D158" s="243" t="str">
        <f>VLOOKUP(B158,INSUMOS!$A:$I,3,FALSE)</f>
        <v>CABO DE COBRE NU 16 MM2 MEIO-DURO</v>
      </c>
      <c r="E158" s="281" t="str">
        <f>VLOOKUP(B158,INSUMOS!$A:$I,4,FALSE)</f>
        <v>Material</v>
      </c>
      <c r="F158" s="281"/>
      <c r="G158" s="215" t="str">
        <f>VLOOKUP(B158,INSUMOS!$A:$I,5,FALSE)</f>
        <v>M</v>
      </c>
      <c r="H158" s="218">
        <v>1.2</v>
      </c>
      <c r="I158" s="217">
        <f>VLOOKUP(B158,INSUMOS!$A:$I,8,FALSE)</f>
        <v>8.5500000000000007</v>
      </c>
      <c r="J158" s="217">
        <f t="shared" si="31"/>
        <v>10.26</v>
      </c>
      <c r="L158" s="149">
        <f t="shared" si="27"/>
        <v>14</v>
      </c>
      <c r="M158" s="156">
        <f t="shared" si="28"/>
        <v>10.26</v>
      </c>
      <c r="N158" s="157" t="str">
        <f t="shared" si="29"/>
        <v/>
      </c>
      <c r="O158" s="157">
        <f t="shared" si="23"/>
        <v>10.26</v>
      </c>
      <c r="P158" s="158" t="str">
        <f t="shared" si="30"/>
        <v/>
      </c>
      <c r="Q158" s="157" t="str">
        <f t="shared" si="24"/>
        <v/>
      </c>
      <c r="R158" s="157" t="str">
        <f t="shared" si="25"/>
        <v/>
      </c>
    </row>
    <row r="159" spans="1:18" x14ac:dyDescent="0.2">
      <c r="A159" s="246"/>
      <c r="B159" s="246"/>
      <c r="C159" s="246"/>
      <c r="D159" s="246"/>
      <c r="E159" s="246"/>
      <c r="F159" s="222"/>
      <c r="G159" s="246"/>
      <c r="H159" s="222"/>
      <c r="I159" s="246"/>
      <c r="J159" s="222"/>
      <c r="L159" s="149">
        <f t="shared" si="27"/>
        <v>14</v>
      </c>
      <c r="M159" s="156" t="str">
        <f t="shared" si="28"/>
        <v/>
      </c>
      <c r="N159" s="157" t="str">
        <f t="shared" si="29"/>
        <v/>
      </c>
      <c r="O159" s="157" t="str">
        <f t="shared" si="23"/>
        <v/>
      </c>
      <c r="P159" s="158" t="str">
        <f t="shared" si="30"/>
        <v/>
      </c>
      <c r="Q159" s="157" t="str">
        <f t="shared" si="24"/>
        <v/>
      </c>
      <c r="R159" s="157" t="str">
        <f t="shared" si="25"/>
        <v/>
      </c>
    </row>
    <row r="160" spans="1:18" ht="14.25" customHeight="1" x14ac:dyDescent="0.2">
      <c r="A160" s="246"/>
      <c r="B160" s="246"/>
      <c r="C160" s="246"/>
      <c r="D160" s="246"/>
      <c r="E160" s="246"/>
      <c r="F160" s="222"/>
      <c r="G160" s="246"/>
      <c r="H160" s="282" t="s">
        <v>39</v>
      </c>
      <c r="I160" s="282"/>
      <c r="J160" s="222">
        <f>TRUNC(SUMIF(L:L,$L160,M:M)*(1+$J$9),2)</f>
        <v>26.7</v>
      </c>
      <c r="L160" s="149">
        <f t="shared" si="27"/>
        <v>14</v>
      </c>
      <c r="M160" s="156" t="str">
        <f t="shared" si="28"/>
        <v/>
      </c>
      <c r="N160" s="157" t="str">
        <f t="shared" si="29"/>
        <v/>
      </c>
      <c r="O160" s="157" t="str">
        <f t="shared" si="23"/>
        <v/>
      </c>
      <c r="P160" s="158" t="str">
        <f t="shared" si="30"/>
        <v/>
      </c>
      <c r="Q160" s="157" t="str">
        <f t="shared" si="24"/>
        <v/>
      </c>
      <c r="R160" s="157" t="str">
        <f t="shared" si="25"/>
        <v/>
      </c>
    </row>
    <row r="161" spans="1:18" ht="15" thickBot="1" x14ac:dyDescent="0.25">
      <c r="A161" s="219"/>
      <c r="B161" s="219"/>
      <c r="C161" s="219"/>
      <c r="D161" s="219"/>
      <c r="E161" s="219"/>
      <c r="F161" s="219"/>
      <c r="G161" s="219" t="s">
        <v>40</v>
      </c>
      <c r="H161" s="221">
        <v>208</v>
      </c>
      <c r="I161" s="219" t="s">
        <v>41</v>
      </c>
      <c r="J161" s="220">
        <f>TRUNC(J160*H161,2)</f>
        <v>5553.6</v>
      </c>
      <c r="L161" s="149">
        <f t="shared" si="27"/>
        <v>14</v>
      </c>
      <c r="M161" s="156" t="str">
        <f t="shared" si="28"/>
        <v/>
      </c>
      <c r="N161" s="157" t="str">
        <f t="shared" si="29"/>
        <v/>
      </c>
      <c r="O161" s="157" t="str">
        <f t="shared" si="23"/>
        <v/>
      </c>
      <c r="P161" s="158" t="str">
        <f t="shared" si="30"/>
        <v/>
      </c>
      <c r="Q161" s="157" t="str">
        <f t="shared" si="24"/>
        <v/>
      </c>
      <c r="R161" s="157" t="str">
        <f t="shared" si="25"/>
        <v/>
      </c>
    </row>
    <row r="162" spans="1:18" ht="25.5" customHeight="1" thickTop="1" x14ac:dyDescent="0.2">
      <c r="A162" s="210"/>
      <c r="B162" s="210"/>
      <c r="C162" s="210"/>
      <c r="D162" s="210"/>
      <c r="E162" s="210"/>
      <c r="F162" s="210"/>
      <c r="G162" s="210"/>
      <c r="H162" s="210"/>
      <c r="I162" s="210"/>
      <c r="J162" s="210"/>
      <c r="L162" s="149">
        <f t="shared" si="27"/>
        <v>15</v>
      </c>
      <c r="M162" s="156" t="str">
        <f t="shared" si="28"/>
        <v/>
      </c>
      <c r="N162" s="157" t="str">
        <f t="shared" si="29"/>
        <v/>
      </c>
      <c r="O162" s="157" t="str">
        <f t="shared" si="23"/>
        <v/>
      </c>
      <c r="P162" s="158" t="str">
        <f t="shared" si="30"/>
        <v/>
      </c>
      <c r="Q162" s="157" t="str">
        <f t="shared" si="24"/>
        <v/>
      </c>
      <c r="R162" s="157" t="str">
        <f t="shared" si="25"/>
        <v/>
      </c>
    </row>
    <row r="163" spans="1:18" ht="15" x14ac:dyDescent="0.2">
      <c r="A163" s="245" t="s">
        <v>469</v>
      </c>
      <c r="B163" s="203" t="s">
        <v>1</v>
      </c>
      <c r="C163" s="245" t="s">
        <v>2</v>
      </c>
      <c r="D163" s="245" t="s">
        <v>3</v>
      </c>
      <c r="E163" s="284" t="s">
        <v>17</v>
      </c>
      <c r="F163" s="284"/>
      <c r="G163" s="202" t="s">
        <v>4</v>
      </c>
      <c r="H163" s="203" t="s">
        <v>5</v>
      </c>
      <c r="I163" s="203" t="s">
        <v>6</v>
      </c>
      <c r="J163" s="203" t="s">
        <v>7</v>
      </c>
      <c r="L163" s="149">
        <f t="shared" si="27"/>
        <v>15</v>
      </c>
      <c r="M163" s="156" t="str">
        <f t="shared" si="28"/>
        <v/>
      </c>
      <c r="N163" s="157" t="str">
        <f t="shared" si="29"/>
        <v/>
      </c>
      <c r="O163" s="157" t="str">
        <f t="shared" si="23"/>
        <v/>
      </c>
      <c r="P163" s="158" t="str">
        <f t="shared" si="30"/>
        <v/>
      </c>
      <c r="Q163" s="157" t="str">
        <f t="shared" si="24"/>
        <v/>
      </c>
      <c r="R163" s="157" t="str">
        <f t="shared" si="25"/>
        <v/>
      </c>
    </row>
    <row r="164" spans="1:18" ht="14.25" customHeight="1" x14ac:dyDescent="0.2">
      <c r="A164" s="247" t="s">
        <v>18</v>
      </c>
      <c r="B164" s="207" t="s">
        <v>470</v>
      </c>
      <c r="C164" s="247" t="s">
        <v>11</v>
      </c>
      <c r="D164" s="247" t="s">
        <v>471</v>
      </c>
      <c r="E164" s="285" t="s">
        <v>268</v>
      </c>
      <c r="F164" s="285"/>
      <c r="G164" s="206" t="s">
        <v>291</v>
      </c>
      <c r="H164" s="209">
        <v>1</v>
      </c>
      <c r="I164" s="208">
        <f>SUMIF(L:L,$L164,M:M)</f>
        <v>8.86</v>
      </c>
      <c r="J164" s="208">
        <f>TRUNC(H164*I164,2)</f>
        <v>8.86</v>
      </c>
      <c r="L164" s="149">
        <f t="shared" si="27"/>
        <v>15</v>
      </c>
      <c r="M164" s="156" t="str">
        <f t="shared" si="28"/>
        <v/>
      </c>
      <c r="N164" s="157" t="str">
        <f t="shared" si="29"/>
        <v/>
      </c>
      <c r="O164" s="157" t="str">
        <f t="shared" si="23"/>
        <v/>
      </c>
      <c r="P164" s="158" t="str">
        <f t="shared" si="30"/>
        <v xml:space="preserve"> 04.02.03 </v>
      </c>
      <c r="Q164" s="157">
        <f t="shared" si="24"/>
        <v>7.2799999999999994</v>
      </c>
      <c r="R164" s="157">
        <f t="shared" si="25"/>
        <v>1.58</v>
      </c>
    </row>
    <row r="165" spans="1:18" ht="25.5" customHeight="1" x14ac:dyDescent="0.2">
      <c r="A165" s="244" t="s">
        <v>20</v>
      </c>
      <c r="B165" s="212" t="s">
        <v>269</v>
      </c>
      <c r="C165" s="244" t="s">
        <v>8</v>
      </c>
      <c r="D165" s="244" t="s">
        <v>270</v>
      </c>
      <c r="E165" s="283" t="s">
        <v>26</v>
      </c>
      <c r="F165" s="283"/>
      <c r="G165" s="211" t="s">
        <v>27</v>
      </c>
      <c r="H165" s="214">
        <v>0.2</v>
      </c>
      <c r="I165" s="213">
        <f>SUMIFS('ANALÍTICA AUXILIARES'!J:J,'ANALÍTICA AUXILIARES'!A:A,"Composição",'ANALÍTICA AUXILIARES'!B:B,$B165)</f>
        <v>20.51</v>
      </c>
      <c r="J165" s="213">
        <f>TRUNC(H165*I165,2)</f>
        <v>4.0999999999999996</v>
      </c>
      <c r="L165" s="149">
        <f t="shared" si="27"/>
        <v>15</v>
      </c>
      <c r="M165" s="156">
        <f t="shared" si="28"/>
        <v>4.0999999999999996</v>
      </c>
      <c r="N165" s="157">
        <f t="shared" si="29"/>
        <v>4.0999999999999996</v>
      </c>
      <c r="O165" s="157" t="str">
        <f t="shared" ref="O165:O228" si="32">IF(N165&lt;&gt;"","",M165)</f>
        <v/>
      </c>
      <c r="P165" s="158" t="str">
        <f t="shared" si="30"/>
        <v/>
      </c>
      <c r="Q165" s="157" t="str">
        <f t="shared" ref="Q165:Q206" si="33">IF(P165&lt;&gt;"",SUMIF(L165:L265,L165,N165:N265),"")</f>
        <v/>
      </c>
      <c r="R165" s="157" t="str">
        <f t="shared" ref="R165:R206" si="34">IF(P165&lt;&gt;"",SUMIF(L165:L265,L165,O165:O265),"")</f>
        <v/>
      </c>
    </row>
    <row r="166" spans="1:18" ht="25.5" customHeight="1" x14ac:dyDescent="0.2">
      <c r="A166" s="244" t="s">
        <v>20</v>
      </c>
      <c r="B166" s="212" t="s">
        <v>264</v>
      </c>
      <c r="C166" s="244" t="s">
        <v>8</v>
      </c>
      <c r="D166" s="244" t="s">
        <v>265</v>
      </c>
      <c r="E166" s="283" t="s">
        <v>26</v>
      </c>
      <c r="F166" s="283"/>
      <c r="G166" s="211" t="s">
        <v>27</v>
      </c>
      <c r="H166" s="214">
        <v>0.2</v>
      </c>
      <c r="I166" s="213">
        <f>SUMIFS('ANALÍTICA AUXILIARES'!J:J,'ANALÍTICA AUXILIARES'!A:A,"Composição",'ANALÍTICA AUXILIARES'!B:B,$B166)</f>
        <v>15.91</v>
      </c>
      <c r="J166" s="213">
        <f>TRUNC(H166*I166,2)</f>
        <v>3.18</v>
      </c>
      <c r="L166" s="149">
        <f t="shared" si="27"/>
        <v>15</v>
      </c>
      <c r="M166" s="156">
        <f t="shared" si="28"/>
        <v>3.18</v>
      </c>
      <c r="N166" s="157">
        <f t="shared" si="29"/>
        <v>3.18</v>
      </c>
      <c r="O166" s="157" t="str">
        <f t="shared" si="32"/>
        <v/>
      </c>
      <c r="P166" s="158" t="str">
        <f t="shared" si="30"/>
        <v/>
      </c>
      <c r="Q166" s="157" t="str">
        <f t="shared" si="33"/>
        <v/>
      </c>
      <c r="R166" s="157" t="str">
        <f t="shared" si="34"/>
        <v/>
      </c>
    </row>
    <row r="167" spans="1:18" ht="25.5" x14ac:dyDescent="0.2">
      <c r="A167" s="243" t="s">
        <v>30</v>
      </c>
      <c r="B167" s="216" t="s">
        <v>383</v>
      </c>
      <c r="C167" s="243" t="str">
        <f>VLOOKUP(B167,INSUMOS!$A:$I,2,FALSE)</f>
        <v>SINAPI</v>
      </c>
      <c r="D167" s="243" t="str">
        <f>VLOOKUP(B167,INSUMOS!$A:$I,3,FALSE)</f>
        <v>TERMINAL A COMPRESSAO EM COBRE ESTANHADO PARA CABO 25 MM2, 1 FURO E 1 COMPRESSAO, PARA PARAFUSO DE FIXACAO M8</v>
      </c>
      <c r="E167" s="281" t="str">
        <f>VLOOKUP(B167,INSUMOS!$A:$I,4,FALSE)</f>
        <v>Material</v>
      </c>
      <c r="F167" s="281"/>
      <c r="G167" s="215" t="str">
        <f>VLOOKUP(B167,INSUMOS!$A:$I,5,FALSE)</f>
        <v>UN</v>
      </c>
      <c r="H167" s="218">
        <v>1</v>
      </c>
      <c r="I167" s="217">
        <f>VLOOKUP(B167,INSUMOS!$A:$I,8,FALSE)</f>
        <v>1.58</v>
      </c>
      <c r="J167" s="217">
        <f>TRUNC(H167*I167,2)</f>
        <v>1.58</v>
      </c>
      <c r="L167" s="149">
        <f t="shared" si="27"/>
        <v>15</v>
      </c>
      <c r="M167" s="156">
        <f t="shared" si="28"/>
        <v>1.58</v>
      </c>
      <c r="N167" s="157" t="str">
        <f t="shared" si="29"/>
        <v/>
      </c>
      <c r="O167" s="157">
        <f t="shared" si="32"/>
        <v>1.58</v>
      </c>
      <c r="P167" s="158" t="str">
        <f t="shared" si="30"/>
        <v/>
      </c>
      <c r="Q167" s="157" t="str">
        <f t="shared" si="33"/>
        <v/>
      </c>
      <c r="R167" s="157" t="str">
        <f t="shared" si="34"/>
        <v/>
      </c>
    </row>
    <row r="168" spans="1:18" x14ac:dyDescent="0.2">
      <c r="A168" s="246"/>
      <c r="B168" s="246"/>
      <c r="C168" s="246"/>
      <c r="D168" s="246"/>
      <c r="E168" s="246"/>
      <c r="F168" s="222"/>
      <c r="G168" s="246"/>
      <c r="H168" s="222"/>
      <c r="I168" s="246"/>
      <c r="J168" s="222"/>
      <c r="L168" s="149">
        <f t="shared" si="27"/>
        <v>15</v>
      </c>
      <c r="M168" s="156" t="str">
        <f t="shared" si="28"/>
        <v/>
      </c>
      <c r="N168" s="157" t="str">
        <f t="shared" si="29"/>
        <v/>
      </c>
      <c r="O168" s="157" t="str">
        <f t="shared" si="32"/>
        <v/>
      </c>
      <c r="P168" s="158" t="str">
        <f t="shared" si="30"/>
        <v/>
      </c>
      <c r="Q168" s="157" t="str">
        <f t="shared" si="33"/>
        <v/>
      </c>
      <c r="R168" s="157" t="str">
        <f t="shared" si="34"/>
        <v/>
      </c>
    </row>
    <row r="169" spans="1:18" ht="14.25" customHeight="1" x14ac:dyDescent="0.2">
      <c r="A169" s="246"/>
      <c r="B169" s="246"/>
      <c r="C169" s="246"/>
      <c r="D169" s="246"/>
      <c r="E169" s="246"/>
      <c r="F169" s="222"/>
      <c r="G169" s="246"/>
      <c r="H169" s="282" t="s">
        <v>39</v>
      </c>
      <c r="I169" s="282"/>
      <c r="J169" s="222">
        <f>TRUNC(SUMIF(L:L,$L169,M:M)*(1+$J$9),2)</f>
        <v>10.82</v>
      </c>
      <c r="L169" s="149">
        <f t="shared" si="27"/>
        <v>15</v>
      </c>
      <c r="M169" s="156" t="str">
        <f t="shared" si="28"/>
        <v/>
      </c>
      <c r="N169" s="157" t="str">
        <f t="shared" si="29"/>
        <v/>
      </c>
      <c r="O169" s="157" t="str">
        <f t="shared" si="32"/>
        <v/>
      </c>
      <c r="P169" s="158" t="str">
        <f t="shared" si="30"/>
        <v/>
      </c>
      <c r="Q169" s="157" t="str">
        <f t="shared" si="33"/>
        <v/>
      </c>
      <c r="R169" s="157" t="str">
        <f t="shared" si="34"/>
        <v/>
      </c>
    </row>
    <row r="170" spans="1:18" ht="15" thickBot="1" x14ac:dyDescent="0.25">
      <c r="A170" s="219"/>
      <c r="B170" s="219"/>
      <c r="C170" s="219"/>
      <c r="D170" s="219"/>
      <c r="E170" s="219"/>
      <c r="F170" s="219"/>
      <c r="G170" s="219" t="s">
        <v>40</v>
      </c>
      <c r="H170" s="221">
        <v>1</v>
      </c>
      <c r="I170" s="219" t="s">
        <v>41</v>
      </c>
      <c r="J170" s="220">
        <f>TRUNC(J169*H170,2)</f>
        <v>10.82</v>
      </c>
      <c r="L170" s="149">
        <f t="shared" si="27"/>
        <v>15</v>
      </c>
      <c r="M170" s="156" t="str">
        <f t="shared" si="28"/>
        <v/>
      </c>
      <c r="N170" s="157" t="str">
        <f t="shared" si="29"/>
        <v/>
      </c>
      <c r="O170" s="157" t="str">
        <f t="shared" si="32"/>
        <v/>
      </c>
      <c r="P170" s="158" t="str">
        <f t="shared" si="30"/>
        <v/>
      </c>
      <c r="Q170" s="157" t="str">
        <f t="shared" si="33"/>
        <v/>
      </c>
      <c r="R170" s="157" t="str">
        <f t="shared" si="34"/>
        <v/>
      </c>
    </row>
    <row r="171" spans="1:18" ht="15" thickTop="1" x14ac:dyDescent="0.2">
      <c r="A171" s="210"/>
      <c r="B171" s="210"/>
      <c r="C171" s="210"/>
      <c r="D171" s="210"/>
      <c r="E171" s="210"/>
      <c r="F171" s="210"/>
      <c r="G171" s="210"/>
      <c r="H171" s="210"/>
      <c r="I171" s="210"/>
      <c r="J171" s="210"/>
      <c r="L171" s="149">
        <f t="shared" si="27"/>
        <v>16</v>
      </c>
      <c r="M171" s="156" t="str">
        <f t="shared" si="28"/>
        <v/>
      </c>
      <c r="N171" s="157" t="str">
        <f t="shared" si="29"/>
        <v/>
      </c>
      <c r="O171" s="157" t="str">
        <f t="shared" si="32"/>
        <v/>
      </c>
      <c r="P171" s="158" t="str">
        <f t="shared" si="30"/>
        <v/>
      </c>
      <c r="Q171" s="157" t="str">
        <f t="shared" si="33"/>
        <v/>
      </c>
      <c r="R171" s="157" t="str">
        <f t="shared" si="34"/>
        <v/>
      </c>
    </row>
    <row r="172" spans="1:18" ht="15" x14ac:dyDescent="0.2">
      <c r="A172" s="245" t="s">
        <v>472</v>
      </c>
      <c r="B172" s="203" t="s">
        <v>1</v>
      </c>
      <c r="C172" s="245" t="s">
        <v>2</v>
      </c>
      <c r="D172" s="245" t="s">
        <v>3</v>
      </c>
      <c r="E172" s="284" t="s">
        <v>17</v>
      </c>
      <c r="F172" s="284"/>
      <c r="G172" s="202" t="s">
        <v>4</v>
      </c>
      <c r="H172" s="203" t="s">
        <v>5</v>
      </c>
      <c r="I172" s="203" t="s">
        <v>6</v>
      </c>
      <c r="J172" s="203" t="s">
        <v>7</v>
      </c>
      <c r="L172" s="149">
        <f t="shared" si="27"/>
        <v>16</v>
      </c>
      <c r="M172" s="156" t="str">
        <f t="shared" si="28"/>
        <v/>
      </c>
      <c r="N172" s="157" t="str">
        <f t="shared" si="29"/>
        <v/>
      </c>
      <c r="O172" s="157" t="str">
        <f t="shared" si="32"/>
        <v/>
      </c>
      <c r="P172" s="158" t="str">
        <f t="shared" si="30"/>
        <v/>
      </c>
      <c r="Q172" s="157" t="str">
        <f t="shared" si="33"/>
        <v/>
      </c>
      <c r="R172" s="157" t="str">
        <f t="shared" si="34"/>
        <v/>
      </c>
    </row>
    <row r="173" spans="1:18" ht="25.5" customHeight="1" x14ac:dyDescent="0.2">
      <c r="A173" s="247" t="s">
        <v>18</v>
      </c>
      <c r="B173" s="207" t="s">
        <v>473</v>
      </c>
      <c r="C173" s="247" t="s">
        <v>8</v>
      </c>
      <c r="D173" s="247" t="s">
        <v>474</v>
      </c>
      <c r="E173" s="285" t="s">
        <v>268</v>
      </c>
      <c r="F173" s="285"/>
      <c r="G173" s="206" t="s">
        <v>12</v>
      </c>
      <c r="H173" s="209">
        <v>1</v>
      </c>
      <c r="I173" s="208">
        <f>SUMIF(L:L,$L173,M:M)</f>
        <v>11.709999999999999</v>
      </c>
      <c r="J173" s="208">
        <f>TRUNC(H173*I173,2)</f>
        <v>11.71</v>
      </c>
      <c r="L173" s="149">
        <f t="shared" si="27"/>
        <v>16</v>
      </c>
      <c r="M173" s="156" t="str">
        <f t="shared" si="28"/>
        <v/>
      </c>
      <c r="N173" s="157" t="str">
        <f t="shared" si="29"/>
        <v/>
      </c>
      <c r="O173" s="157" t="str">
        <f t="shared" si="32"/>
        <v/>
      </c>
      <c r="P173" s="158" t="str">
        <f t="shared" si="30"/>
        <v xml:space="preserve"> 04.02.04 </v>
      </c>
      <c r="Q173" s="157">
        <f t="shared" si="33"/>
        <v>7.2799999999999994</v>
      </c>
      <c r="R173" s="157">
        <f t="shared" si="34"/>
        <v>4.43</v>
      </c>
    </row>
    <row r="174" spans="1:18" ht="25.5" x14ac:dyDescent="0.2">
      <c r="A174" s="244" t="s">
        <v>20</v>
      </c>
      <c r="B174" s="212" t="s">
        <v>264</v>
      </c>
      <c r="C174" s="244" t="s">
        <v>8</v>
      </c>
      <c r="D174" s="244" t="s">
        <v>265</v>
      </c>
      <c r="E174" s="283" t="s">
        <v>26</v>
      </c>
      <c r="F174" s="283"/>
      <c r="G174" s="211" t="s">
        <v>27</v>
      </c>
      <c r="H174" s="214">
        <v>0.2</v>
      </c>
      <c r="I174" s="213">
        <f>SUMIFS('ANALÍTICA AUXILIARES'!J:J,'ANALÍTICA AUXILIARES'!A:A,"Composição",'ANALÍTICA AUXILIARES'!B:B,$B174)</f>
        <v>15.91</v>
      </c>
      <c r="J174" s="213">
        <f>TRUNC(H174*I174,2)</f>
        <v>3.18</v>
      </c>
      <c r="L174" s="149">
        <f t="shared" si="27"/>
        <v>16</v>
      </c>
      <c r="M174" s="156">
        <f t="shared" si="28"/>
        <v>3.18</v>
      </c>
      <c r="N174" s="157">
        <f t="shared" si="29"/>
        <v>3.18</v>
      </c>
      <c r="O174" s="157" t="str">
        <f t="shared" si="32"/>
        <v/>
      </c>
      <c r="P174" s="158" t="str">
        <f t="shared" si="30"/>
        <v/>
      </c>
      <c r="Q174" s="157" t="str">
        <f t="shared" si="33"/>
        <v/>
      </c>
      <c r="R174" s="157" t="str">
        <f t="shared" si="34"/>
        <v/>
      </c>
    </row>
    <row r="175" spans="1:18" ht="25.5" x14ac:dyDescent="0.2">
      <c r="A175" s="244" t="s">
        <v>20</v>
      </c>
      <c r="B175" s="212" t="s">
        <v>269</v>
      </c>
      <c r="C175" s="244" t="s">
        <v>8</v>
      </c>
      <c r="D175" s="244" t="s">
        <v>270</v>
      </c>
      <c r="E175" s="283" t="s">
        <v>26</v>
      </c>
      <c r="F175" s="283"/>
      <c r="G175" s="211" t="s">
        <v>27</v>
      </c>
      <c r="H175" s="214">
        <v>0.2</v>
      </c>
      <c r="I175" s="213">
        <f>SUMIFS('ANALÍTICA AUXILIARES'!J:J,'ANALÍTICA AUXILIARES'!A:A,"Composição",'ANALÍTICA AUXILIARES'!B:B,$B175)</f>
        <v>20.51</v>
      </c>
      <c r="J175" s="213">
        <f>TRUNC(H175*I175,2)</f>
        <v>4.0999999999999996</v>
      </c>
      <c r="L175" s="149">
        <f t="shared" si="27"/>
        <v>16</v>
      </c>
      <c r="M175" s="156">
        <f t="shared" si="28"/>
        <v>4.0999999999999996</v>
      </c>
      <c r="N175" s="157">
        <f t="shared" si="29"/>
        <v>4.0999999999999996</v>
      </c>
      <c r="O175" s="157" t="str">
        <f t="shared" si="32"/>
        <v/>
      </c>
      <c r="P175" s="158" t="str">
        <f t="shared" si="30"/>
        <v/>
      </c>
      <c r="Q175" s="157" t="str">
        <f t="shared" si="33"/>
        <v/>
      </c>
      <c r="R175" s="157" t="str">
        <f t="shared" si="34"/>
        <v/>
      </c>
    </row>
    <row r="176" spans="1:18" ht="25.5" x14ac:dyDescent="0.2">
      <c r="A176" s="243" t="s">
        <v>30</v>
      </c>
      <c r="B176" s="216" t="s">
        <v>340</v>
      </c>
      <c r="C176" s="243" t="str">
        <f>VLOOKUP(B176,INSUMOS!$A:$I,2,FALSE)</f>
        <v>SINAPI</v>
      </c>
      <c r="D176" s="243" t="str">
        <f>VLOOKUP(B176,INSUMOS!$A:$I,3,FALSE)</f>
        <v>CONECTOR METALICO TIPO PARAFUSO FENDIDO (SPLIT BOLT), PARA CABOS ATE 16 MM2</v>
      </c>
      <c r="E176" s="281" t="str">
        <f>VLOOKUP(B176,INSUMOS!$A:$I,4,FALSE)</f>
        <v>Material</v>
      </c>
      <c r="F176" s="281"/>
      <c r="G176" s="215" t="str">
        <f>VLOOKUP(B176,INSUMOS!$A:$I,5,FALSE)</f>
        <v>UN</v>
      </c>
      <c r="H176" s="218">
        <v>1</v>
      </c>
      <c r="I176" s="217">
        <f>VLOOKUP(B176,INSUMOS!$A:$I,8,FALSE)</f>
        <v>4.43</v>
      </c>
      <c r="J176" s="217">
        <f>TRUNC(H176*I176,2)</f>
        <v>4.43</v>
      </c>
      <c r="L176" s="149">
        <f t="shared" si="27"/>
        <v>16</v>
      </c>
      <c r="M176" s="156">
        <f t="shared" si="28"/>
        <v>4.43</v>
      </c>
      <c r="N176" s="157" t="str">
        <f t="shared" si="29"/>
        <v/>
      </c>
      <c r="O176" s="157">
        <f t="shared" si="32"/>
        <v>4.43</v>
      </c>
      <c r="P176" s="158" t="str">
        <f t="shared" si="30"/>
        <v/>
      </c>
      <c r="Q176" s="157" t="str">
        <f t="shared" si="33"/>
        <v/>
      </c>
      <c r="R176" s="157" t="str">
        <f t="shared" si="34"/>
        <v/>
      </c>
    </row>
    <row r="177" spans="1:18" ht="14.25" customHeight="1" x14ac:dyDescent="0.2">
      <c r="A177" s="246"/>
      <c r="B177" s="246"/>
      <c r="C177" s="246"/>
      <c r="D177" s="246"/>
      <c r="E177" s="246"/>
      <c r="F177" s="222"/>
      <c r="G177" s="246"/>
      <c r="H177" s="222"/>
      <c r="I177" s="246"/>
      <c r="J177" s="222"/>
      <c r="L177" s="149">
        <f t="shared" si="27"/>
        <v>16</v>
      </c>
      <c r="M177" s="156" t="str">
        <f t="shared" si="28"/>
        <v/>
      </c>
      <c r="N177" s="157" t="str">
        <f t="shared" si="29"/>
        <v/>
      </c>
      <c r="O177" s="157" t="str">
        <f t="shared" si="32"/>
        <v/>
      </c>
      <c r="P177" s="158" t="str">
        <f t="shared" si="30"/>
        <v/>
      </c>
      <c r="Q177" s="157" t="str">
        <f t="shared" si="33"/>
        <v/>
      </c>
      <c r="R177" s="157" t="str">
        <f t="shared" si="34"/>
        <v/>
      </c>
    </row>
    <row r="178" spans="1:18" ht="14.25" customHeight="1" x14ac:dyDescent="0.2">
      <c r="A178" s="246"/>
      <c r="B178" s="246"/>
      <c r="C178" s="246"/>
      <c r="D178" s="246"/>
      <c r="E178" s="246"/>
      <c r="F178" s="222"/>
      <c r="G178" s="246"/>
      <c r="H178" s="282" t="s">
        <v>39</v>
      </c>
      <c r="I178" s="282"/>
      <c r="J178" s="222">
        <f>TRUNC(SUMIF(L:L,$L178,M:M)*(1+$J$9),2)</f>
        <v>14.31</v>
      </c>
      <c r="L178" s="149">
        <f t="shared" si="27"/>
        <v>16</v>
      </c>
      <c r="M178" s="156" t="str">
        <f t="shared" si="28"/>
        <v/>
      </c>
      <c r="N178" s="157" t="str">
        <f t="shared" si="29"/>
        <v/>
      </c>
      <c r="O178" s="157" t="str">
        <f t="shared" si="32"/>
        <v/>
      </c>
      <c r="P178" s="158" t="str">
        <f t="shared" si="30"/>
        <v/>
      </c>
      <c r="Q178" s="157" t="str">
        <f t="shared" si="33"/>
        <v/>
      </c>
      <c r="R178" s="157" t="str">
        <f t="shared" si="34"/>
        <v/>
      </c>
    </row>
    <row r="179" spans="1:18" ht="15" thickBot="1" x14ac:dyDescent="0.25">
      <c r="A179" s="219"/>
      <c r="B179" s="219"/>
      <c r="C179" s="219"/>
      <c r="D179" s="219"/>
      <c r="E179" s="219"/>
      <c r="F179" s="219"/>
      <c r="G179" s="219" t="s">
        <v>40</v>
      </c>
      <c r="H179" s="221">
        <v>72</v>
      </c>
      <c r="I179" s="219" t="s">
        <v>41</v>
      </c>
      <c r="J179" s="220">
        <f>TRUNC(J178*H179,2)</f>
        <v>1030.32</v>
      </c>
      <c r="L179" s="149">
        <f t="shared" si="27"/>
        <v>16</v>
      </c>
      <c r="M179" s="156" t="str">
        <f t="shared" si="28"/>
        <v/>
      </c>
      <c r="N179" s="157" t="str">
        <f t="shared" si="29"/>
        <v/>
      </c>
      <c r="O179" s="157" t="str">
        <f t="shared" si="32"/>
        <v/>
      </c>
      <c r="P179" s="158" t="str">
        <f t="shared" si="30"/>
        <v/>
      </c>
      <c r="Q179" s="157" t="str">
        <f t="shared" si="33"/>
        <v/>
      </c>
      <c r="R179" s="157" t="str">
        <f t="shared" si="34"/>
        <v/>
      </c>
    </row>
    <row r="180" spans="1:18" ht="15" thickTop="1" x14ac:dyDescent="0.2">
      <c r="A180" s="210"/>
      <c r="B180" s="210"/>
      <c r="C180" s="210"/>
      <c r="D180" s="210"/>
      <c r="E180" s="210"/>
      <c r="F180" s="210"/>
      <c r="G180" s="210"/>
      <c r="H180" s="210"/>
      <c r="I180" s="210"/>
      <c r="J180" s="210"/>
      <c r="L180" s="149">
        <f t="shared" si="27"/>
        <v>17</v>
      </c>
      <c r="M180" s="156" t="str">
        <f t="shared" si="28"/>
        <v/>
      </c>
      <c r="N180" s="157" t="str">
        <f t="shared" si="29"/>
        <v/>
      </c>
      <c r="O180" s="157" t="str">
        <f t="shared" si="32"/>
        <v/>
      </c>
      <c r="P180" s="158" t="str">
        <f t="shared" si="30"/>
        <v/>
      </c>
      <c r="Q180" s="157" t="str">
        <f t="shared" si="33"/>
        <v/>
      </c>
      <c r="R180" s="157" t="str">
        <f t="shared" si="34"/>
        <v/>
      </c>
    </row>
    <row r="181" spans="1:18" ht="25.5" customHeight="1" x14ac:dyDescent="0.2">
      <c r="A181" s="245" t="s">
        <v>561</v>
      </c>
      <c r="B181" s="203" t="s">
        <v>1</v>
      </c>
      <c r="C181" s="245" t="s">
        <v>2</v>
      </c>
      <c r="D181" s="245" t="s">
        <v>3</v>
      </c>
      <c r="E181" s="284" t="s">
        <v>17</v>
      </c>
      <c r="F181" s="284"/>
      <c r="G181" s="202" t="s">
        <v>4</v>
      </c>
      <c r="H181" s="203" t="s">
        <v>5</v>
      </c>
      <c r="I181" s="203" t="s">
        <v>6</v>
      </c>
      <c r="J181" s="203" t="s">
        <v>7</v>
      </c>
      <c r="L181" s="149">
        <f t="shared" si="27"/>
        <v>17</v>
      </c>
      <c r="M181" s="156" t="str">
        <f t="shared" si="28"/>
        <v/>
      </c>
      <c r="N181" s="157" t="str">
        <f t="shared" si="29"/>
        <v/>
      </c>
      <c r="O181" s="157" t="str">
        <f t="shared" si="32"/>
        <v/>
      </c>
      <c r="P181" s="158" t="str">
        <f t="shared" si="30"/>
        <v/>
      </c>
      <c r="Q181" s="157" t="str">
        <f t="shared" si="33"/>
        <v/>
      </c>
      <c r="R181" s="157" t="str">
        <f t="shared" si="34"/>
        <v/>
      </c>
    </row>
    <row r="182" spans="1:18" ht="25.5" customHeight="1" x14ac:dyDescent="0.2">
      <c r="A182" s="247" t="s">
        <v>18</v>
      </c>
      <c r="B182" s="207" t="s">
        <v>475</v>
      </c>
      <c r="C182" s="247" t="s">
        <v>8</v>
      </c>
      <c r="D182" s="247" t="s">
        <v>476</v>
      </c>
      <c r="E182" s="285" t="s">
        <v>268</v>
      </c>
      <c r="F182" s="285"/>
      <c r="G182" s="206" t="s">
        <v>12</v>
      </c>
      <c r="H182" s="209">
        <v>1</v>
      </c>
      <c r="I182" s="208">
        <f>SUMIF(L:L,$L182,M:M)</f>
        <v>20.440000000000005</v>
      </c>
      <c r="J182" s="208">
        <f>TRUNC(H182*I182,2)</f>
        <v>20.440000000000001</v>
      </c>
      <c r="L182" s="149">
        <f t="shared" si="27"/>
        <v>17</v>
      </c>
      <c r="M182" s="156" t="str">
        <f t="shared" si="28"/>
        <v/>
      </c>
      <c r="N182" s="157" t="str">
        <f t="shared" si="29"/>
        <v/>
      </c>
      <c r="O182" s="157" t="str">
        <f t="shared" si="32"/>
        <v/>
      </c>
      <c r="P182" s="158" t="str">
        <f t="shared" si="30"/>
        <v xml:space="preserve"> 04.02.05 </v>
      </c>
      <c r="Q182" s="157">
        <f t="shared" si="33"/>
        <v>11.510000000000002</v>
      </c>
      <c r="R182" s="157">
        <f t="shared" si="34"/>
        <v>8.9300000000000015</v>
      </c>
    </row>
    <row r="183" spans="1:18" ht="25.5" x14ac:dyDescent="0.2">
      <c r="A183" s="244" t="s">
        <v>20</v>
      </c>
      <c r="B183" s="212" t="s">
        <v>264</v>
      </c>
      <c r="C183" s="244" t="s">
        <v>8</v>
      </c>
      <c r="D183" s="244" t="s">
        <v>265</v>
      </c>
      <c r="E183" s="283" t="s">
        <v>26</v>
      </c>
      <c r="F183" s="283"/>
      <c r="G183" s="211" t="s">
        <v>27</v>
      </c>
      <c r="H183" s="214">
        <v>0.31640000000000001</v>
      </c>
      <c r="I183" s="213">
        <f>SUMIFS('ANALÍTICA AUXILIARES'!J:J,'ANALÍTICA AUXILIARES'!A:A,"Composição",'ANALÍTICA AUXILIARES'!B:B,$B183)</f>
        <v>15.91</v>
      </c>
      <c r="J183" s="213">
        <f>TRUNC(H183*I183,2)</f>
        <v>5.03</v>
      </c>
      <c r="L183" s="149">
        <f t="shared" si="27"/>
        <v>17</v>
      </c>
      <c r="M183" s="156">
        <f t="shared" si="28"/>
        <v>5.03</v>
      </c>
      <c r="N183" s="157">
        <f t="shared" si="29"/>
        <v>5.03</v>
      </c>
      <c r="O183" s="157" t="str">
        <f t="shared" si="32"/>
        <v/>
      </c>
      <c r="P183" s="158" t="str">
        <f t="shared" si="30"/>
        <v/>
      </c>
      <c r="Q183" s="157" t="str">
        <f t="shared" si="33"/>
        <v/>
      </c>
      <c r="R183" s="157" t="str">
        <f t="shared" si="34"/>
        <v/>
      </c>
    </row>
    <row r="184" spans="1:18" ht="25.5" x14ac:dyDescent="0.2">
      <c r="A184" s="244" t="s">
        <v>20</v>
      </c>
      <c r="B184" s="212" t="s">
        <v>269</v>
      </c>
      <c r="C184" s="244" t="s">
        <v>8</v>
      </c>
      <c r="D184" s="244" t="s">
        <v>270</v>
      </c>
      <c r="E184" s="283" t="s">
        <v>26</v>
      </c>
      <c r="F184" s="283"/>
      <c r="G184" s="211" t="s">
        <v>27</v>
      </c>
      <c r="H184" s="214">
        <v>0.31640000000000001</v>
      </c>
      <c r="I184" s="213">
        <f>SUMIFS('ANALÍTICA AUXILIARES'!J:J,'ANALÍTICA AUXILIARES'!A:A,"Composição",'ANALÍTICA AUXILIARES'!B:B,$B184)</f>
        <v>20.51</v>
      </c>
      <c r="J184" s="213">
        <f>TRUNC(H184*I184,2)</f>
        <v>6.48</v>
      </c>
      <c r="L184" s="149">
        <f t="shared" si="27"/>
        <v>17</v>
      </c>
      <c r="M184" s="156">
        <f t="shared" si="28"/>
        <v>6.48</v>
      </c>
      <c r="N184" s="157">
        <f t="shared" si="29"/>
        <v>6.48</v>
      </c>
      <c r="O184" s="157" t="str">
        <f t="shared" si="32"/>
        <v/>
      </c>
      <c r="P184" s="158" t="str">
        <f t="shared" si="30"/>
        <v/>
      </c>
      <c r="Q184" s="157" t="str">
        <f t="shared" si="33"/>
        <v/>
      </c>
      <c r="R184" s="157" t="str">
        <f t="shared" si="34"/>
        <v/>
      </c>
    </row>
    <row r="185" spans="1:18" ht="14.25" customHeight="1" x14ac:dyDescent="0.2">
      <c r="A185" s="243" t="s">
        <v>30</v>
      </c>
      <c r="B185" s="216" t="s">
        <v>391</v>
      </c>
      <c r="C185" s="243" t="str">
        <f>VLOOKUP(B185,INSUMOS!$A:$I,2,FALSE)</f>
        <v>SINAPI</v>
      </c>
      <c r="D185" s="243" t="str">
        <f>VLOOKUP(B185,INSUMOS!$A:$I,3,FALSE)</f>
        <v>PARAFUSO DE ACO ZINCADO COM ROSCA SOBERBA, CABECA CHATA E FENDA SIMPLES, DIAMETRO 4,8 MM, COMPRIMENTO 45 MM</v>
      </c>
      <c r="E185" s="281" t="str">
        <f>VLOOKUP(B185,INSUMOS!$A:$I,4,FALSE)</f>
        <v>Material</v>
      </c>
      <c r="F185" s="281"/>
      <c r="G185" s="215" t="str">
        <f>VLOOKUP(B185,INSUMOS!$A:$I,5,FALSE)</f>
        <v>UN</v>
      </c>
      <c r="H185" s="218">
        <v>2</v>
      </c>
      <c r="I185" s="217">
        <f>VLOOKUP(B185,INSUMOS!$A:$I,8,FALSE)</f>
        <v>0.19</v>
      </c>
      <c r="J185" s="217">
        <f>TRUNC(H185*I185,2)</f>
        <v>0.38</v>
      </c>
      <c r="L185" s="149">
        <f t="shared" si="27"/>
        <v>17</v>
      </c>
      <c r="M185" s="156">
        <f t="shared" si="28"/>
        <v>0.38</v>
      </c>
      <c r="N185" s="157" t="str">
        <f t="shared" si="29"/>
        <v/>
      </c>
      <c r="O185" s="157">
        <f t="shared" si="32"/>
        <v>0.38</v>
      </c>
      <c r="P185" s="158" t="str">
        <f t="shared" si="30"/>
        <v/>
      </c>
      <c r="Q185" s="157" t="str">
        <f t="shared" si="33"/>
        <v/>
      </c>
      <c r="R185" s="157" t="str">
        <f t="shared" si="34"/>
        <v/>
      </c>
    </row>
    <row r="186" spans="1:18" ht="14.25" customHeight="1" x14ac:dyDescent="0.2">
      <c r="A186" s="243" t="s">
        <v>30</v>
      </c>
      <c r="B186" s="216" t="s">
        <v>335</v>
      </c>
      <c r="C186" s="243" t="str">
        <f>VLOOKUP(B186,INSUMOS!$A:$I,2,FALSE)</f>
        <v>SINAPI</v>
      </c>
      <c r="D186" s="243" t="str">
        <f>VLOOKUP(B186,INSUMOS!$A:$I,3,FALSE)</f>
        <v>SUPORTE ISOLADOR REFORCADO DIAMETRO NOMINAL 5/16", COM ROSCA SOBERBA E BUCHA</v>
      </c>
      <c r="E186" s="281" t="str">
        <f>VLOOKUP(B186,INSUMOS!$A:$I,4,FALSE)</f>
        <v>Material</v>
      </c>
      <c r="F186" s="281"/>
      <c r="G186" s="215" t="str">
        <f>VLOOKUP(B186,INSUMOS!$A:$I,5,FALSE)</f>
        <v>UN</v>
      </c>
      <c r="H186" s="218">
        <v>1</v>
      </c>
      <c r="I186" s="217">
        <f>VLOOKUP(B186,INSUMOS!$A:$I,8,FALSE)</f>
        <v>8.5500000000000007</v>
      </c>
      <c r="J186" s="217">
        <f>TRUNC(H186*I186,2)</f>
        <v>8.5500000000000007</v>
      </c>
      <c r="L186" s="149">
        <f t="shared" si="27"/>
        <v>17</v>
      </c>
      <c r="M186" s="156">
        <f t="shared" si="28"/>
        <v>8.5500000000000007</v>
      </c>
      <c r="N186" s="157" t="str">
        <f t="shared" si="29"/>
        <v/>
      </c>
      <c r="O186" s="157">
        <f t="shared" si="32"/>
        <v>8.5500000000000007</v>
      </c>
      <c r="P186" s="158" t="str">
        <f t="shared" si="30"/>
        <v/>
      </c>
      <c r="Q186" s="157" t="str">
        <f t="shared" si="33"/>
        <v/>
      </c>
      <c r="R186" s="157" t="str">
        <f t="shared" si="34"/>
        <v/>
      </c>
    </row>
    <row r="187" spans="1:18" x14ac:dyDescent="0.2">
      <c r="A187" s="246"/>
      <c r="B187" s="246"/>
      <c r="C187" s="246"/>
      <c r="D187" s="246"/>
      <c r="E187" s="246"/>
      <c r="F187" s="222"/>
      <c r="G187" s="246"/>
      <c r="H187" s="222"/>
      <c r="I187" s="246"/>
      <c r="J187" s="222"/>
      <c r="L187" s="149">
        <f t="shared" si="27"/>
        <v>17</v>
      </c>
      <c r="M187" s="156" t="str">
        <f t="shared" si="28"/>
        <v/>
      </c>
      <c r="N187" s="157" t="str">
        <f t="shared" si="29"/>
        <v/>
      </c>
      <c r="O187" s="157" t="str">
        <f t="shared" si="32"/>
        <v/>
      </c>
      <c r="P187" s="158" t="str">
        <f t="shared" si="30"/>
        <v/>
      </c>
      <c r="Q187" s="157" t="str">
        <f t="shared" si="33"/>
        <v/>
      </c>
      <c r="R187" s="157" t="str">
        <f t="shared" si="34"/>
        <v/>
      </c>
    </row>
    <row r="188" spans="1:18" ht="14.25" customHeight="1" x14ac:dyDescent="0.2">
      <c r="A188" s="246"/>
      <c r="B188" s="246"/>
      <c r="C188" s="246"/>
      <c r="D188" s="246"/>
      <c r="E188" s="246"/>
      <c r="F188" s="222"/>
      <c r="G188" s="246"/>
      <c r="H188" s="282" t="s">
        <v>39</v>
      </c>
      <c r="I188" s="282"/>
      <c r="J188" s="222">
        <f>TRUNC(SUMIF(L:L,$L188,M:M)*(1+$J$9),2)</f>
        <v>24.98</v>
      </c>
      <c r="L188" s="149">
        <f t="shared" si="27"/>
        <v>17</v>
      </c>
      <c r="M188" s="156" t="str">
        <f t="shared" si="28"/>
        <v/>
      </c>
      <c r="N188" s="157" t="str">
        <f t="shared" si="29"/>
        <v/>
      </c>
      <c r="O188" s="157" t="str">
        <f t="shared" si="32"/>
        <v/>
      </c>
      <c r="P188" s="158" t="str">
        <f t="shared" si="30"/>
        <v/>
      </c>
      <c r="Q188" s="157" t="str">
        <f t="shared" si="33"/>
        <v/>
      </c>
      <c r="R188" s="157" t="str">
        <f t="shared" si="34"/>
        <v/>
      </c>
    </row>
    <row r="189" spans="1:18" ht="25.5" customHeight="1" thickBot="1" x14ac:dyDescent="0.25">
      <c r="A189" s="219"/>
      <c r="B189" s="219"/>
      <c r="C189" s="219"/>
      <c r="D189" s="219"/>
      <c r="E189" s="219"/>
      <c r="F189" s="219"/>
      <c r="G189" s="219" t="s">
        <v>40</v>
      </c>
      <c r="H189" s="221">
        <v>46</v>
      </c>
      <c r="I189" s="219" t="s">
        <v>41</v>
      </c>
      <c r="J189" s="220">
        <f>TRUNC(J188*H189,2)</f>
        <v>1149.08</v>
      </c>
      <c r="L189" s="149">
        <f t="shared" si="27"/>
        <v>17</v>
      </c>
      <c r="M189" s="156" t="str">
        <f t="shared" si="28"/>
        <v/>
      </c>
      <c r="N189" s="157" t="str">
        <f t="shared" si="29"/>
        <v/>
      </c>
      <c r="O189" s="157" t="str">
        <f t="shared" si="32"/>
        <v/>
      </c>
      <c r="P189" s="158" t="str">
        <f t="shared" si="30"/>
        <v/>
      </c>
      <c r="Q189" s="157" t="str">
        <f t="shared" si="33"/>
        <v/>
      </c>
      <c r="R189" s="157" t="str">
        <f t="shared" si="34"/>
        <v/>
      </c>
    </row>
    <row r="190" spans="1:18" ht="15" thickTop="1" x14ac:dyDescent="0.2">
      <c r="A190" s="210"/>
      <c r="B190" s="210"/>
      <c r="C190" s="210"/>
      <c r="D190" s="210"/>
      <c r="E190" s="210"/>
      <c r="F190" s="210"/>
      <c r="G190" s="210"/>
      <c r="H190" s="210"/>
      <c r="I190" s="210"/>
      <c r="J190" s="210"/>
      <c r="L190" s="149">
        <f t="shared" si="27"/>
        <v>18</v>
      </c>
      <c r="M190" s="156" t="str">
        <f t="shared" si="28"/>
        <v/>
      </c>
      <c r="N190" s="157" t="str">
        <f t="shared" si="29"/>
        <v/>
      </c>
      <c r="O190" s="157" t="str">
        <f t="shared" si="32"/>
        <v/>
      </c>
      <c r="P190" s="158" t="str">
        <f t="shared" si="30"/>
        <v/>
      </c>
      <c r="Q190" s="157" t="str">
        <f t="shared" si="33"/>
        <v/>
      </c>
      <c r="R190" s="157" t="str">
        <f t="shared" si="34"/>
        <v/>
      </c>
    </row>
    <row r="191" spans="1:18" x14ac:dyDescent="0.2">
      <c r="A191" s="249" t="s">
        <v>477</v>
      </c>
      <c r="B191" s="249"/>
      <c r="C191" s="249"/>
      <c r="D191" s="249" t="s">
        <v>478</v>
      </c>
      <c r="E191" s="249"/>
      <c r="F191" s="286"/>
      <c r="G191" s="286"/>
      <c r="H191" s="204"/>
      <c r="I191" s="249"/>
      <c r="J191" s="205"/>
      <c r="L191" s="149">
        <f t="shared" si="27"/>
        <v>18</v>
      </c>
      <c r="M191" s="156" t="str">
        <f t="shared" si="28"/>
        <v/>
      </c>
      <c r="N191" s="157" t="str">
        <f t="shared" si="29"/>
        <v/>
      </c>
      <c r="O191" s="157" t="str">
        <f t="shared" si="32"/>
        <v/>
      </c>
      <c r="P191" s="158" t="str">
        <f t="shared" si="30"/>
        <v/>
      </c>
      <c r="Q191" s="157" t="str">
        <f t="shared" si="33"/>
        <v/>
      </c>
      <c r="R191" s="157" t="str">
        <f t="shared" si="34"/>
        <v/>
      </c>
    </row>
    <row r="192" spans="1:18" ht="15" x14ac:dyDescent="0.2">
      <c r="A192" s="245" t="s">
        <v>479</v>
      </c>
      <c r="B192" s="203" t="s">
        <v>1</v>
      </c>
      <c r="C192" s="245" t="s">
        <v>2</v>
      </c>
      <c r="D192" s="245" t="s">
        <v>3</v>
      </c>
      <c r="E192" s="284" t="s">
        <v>17</v>
      </c>
      <c r="F192" s="284"/>
      <c r="G192" s="202" t="s">
        <v>4</v>
      </c>
      <c r="H192" s="203" t="s">
        <v>5</v>
      </c>
      <c r="I192" s="203" t="s">
        <v>6</v>
      </c>
      <c r="J192" s="203" t="s">
        <v>7</v>
      </c>
      <c r="L192" s="149">
        <f t="shared" si="27"/>
        <v>18</v>
      </c>
      <c r="M192" s="156" t="str">
        <f t="shared" si="28"/>
        <v/>
      </c>
      <c r="N192" s="157" t="str">
        <f t="shared" si="29"/>
        <v/>
      </c>
      <c r="O192" s="157" t="str">
        <f t="shared" si="32"/>
        <v/>
      </c>
      <c r="P192" s="158" t="str">
        <f t="shared" si="30"/>
        <v/>
      </c>
      <c r="Q192" s="157" t="str">
        <f t="shared" si="33"/>
        <v/>
      </c>
      <c r="R192" s="157" t="str">
        <f t="shared" si="34"/>
        <v/>
      </c>
    </row>
    <row r="193" spans="1:18" ht="14.25" customHeight="1" x14ac:dyDescent="0.2">
      <c r="A193" s="247" t="s">
        <v>18</v>
      </c>
      <c r="B193" s="207" t="s">
        <v>480</v>
      </c>
      <c r="C193" s="247" t="s">
        <v>11</v>
      </c>
      <c r="D193" s="247" t="s">
        <v>481</v>
      </c>
      <c r="E193" s="285" t="s">
        <v>268</v>
      </c>
      <c r="F193" s="285"/>
      <c r="G193" s="206" t="s">
        <v>298</v>
      </c>
      <c r="H193" s="209">
        <v>1</v>
      </c>
      <c r="I193" s="208">
        <f>SUMIF(L:L,$L193,M:M)</f>
        <v>10.85</v>
      </c>
      <c r="J193" s="208">
        <f>TRUNC(H193*I193,2)</f>
        <v>10.85</v>
      </c>
      <c r="L193" s="149">
        <f t="shared" si="27"/>
        <v>18</v>
      </c>
      <c r="M193" s="156" t="str">
        <f t="shared" si="28"/>
        <v/>
      </c>
      <c r="N193" s="157" t="str">
        <f t="shared" si="29"/>
        <v/>
      </c>
      <c r="O193" s="157" t="str">
        <f t="shared" si="32"/>
        <v/>
      </c>
      <c r="P193" s="158" t="str">
        <f t="shared" si="30"/>
        <v xml:space="preserve"> 04.03.01 </v>
      </c>
      <c r="Q193" s="157">
        <f t="shared" si="33"/>
        <v>1.45</v>
      </c>
      <c r="R193" s="157">
        <f t="shared" si="34"/>
        <v>9.4</v>
      </c>
    </row>
    <row r="194" spans="1:18" ht="25.5" x14ac:dyDescent="0.2">
      <c r="A194" s="244" t="s">
        <v>20</v>
      </c>
      <c r="B194" s="212" t="s">
        <v>269</v>
      </c>
      <c r="C194" s="244" t="s">
        <v>8</v>
      </c>
      <c r="D194" s="244" t="s">
        <v>270</v>
      </c>
      <c r="E194" s="283" t="s">
        <v>26</v>
      </c>
      <c r="F194" s="283"/>
      <c r="G194" s="211" t="s">
        <v>27</v>
      </c>
      <c r="H194" s="214">
        <v>0.04</v>
      </c>
      <c r="I194" s="213">
        <f>SUMIFS('ANALÍTICA AUXILIARES'!J:J,'ANALÍTICA AUXILIARES'!A:A,"Composição",'ANALÍTICA AUXILIARES'!B:B,$B194)</f>
        <v>20.51</v>
      </c>
      <c r="J194" s="213">
        <f>TRUNC(H194*I194,2)</f>
        <v>0.82</v>
      </c>
      <c r="L194" s="149">
        <f t="shared" si="27"/>
        <v>18</v>
      </c>
      <c r="M194" s="156">
        <f t="shared" si="28"/>
        <v>0.82</v>
      </c>
      <c r="N194" s="157">
        <f t="shared" si="29"/>
        <v>0.82</v>
      </c>
      <c r="O194" s="157" t="str">
        <f t="shared" si="32"/>
        <v/>
      </c>
      <c r="P194" s="158" t="str">
        <f t="shared" si="30"/>
        <v/>
      </c>
      <c r="Q194" s="157" t="str">
        <f t="shared" si="33"/>
        <v/>
      </c>
      <c r="R194" s="157" t="str">
        <f t="shared" si="34"/>
        <v/>
      </c>
    </row>
    <row r="195" spans="1:18" ht="25.5" x14ac:dyDescent="0.2">
      <c r="A195" s="244" t="s">
        <v>20</v>
      </c>
      <c r="B195" s="212" t="s">
        <v>264</v>
      </c>
      <c r="C195" s="244" t="s">
        <v>8</v>
      </c>
      <c r="D195" s="244" t="s">
        <v>265</v>
      </c>
      <c r="E195" s="283" t="s">
        <v>26</v>
      </c>
      <c r="F195" s="283"/>
      <c r="G195" s="211" t="s">
        <v>27</v>
      </c>
      <c r="H195" s="214">
        <v>0.04</v>
      </c>
      <c r="I195" s="213">
        <f>SUMIFS('ANALÍTICA AUXILIARES'!J:J,'ANALÍTICA AUXILIARES'!A:A,"Composição",'ANALÍTICA AUXILIARES'!B:B,$B195)</f>
        <v>15.91</v>
      </c>
      <c r="J195" s="213">
        <f>TRUNC(H195*I195,2)</f>
        <v>0.63</v>
      </c>
      <c r="L195" s="149">
        <f t="shared" si="27"/>
        <v>18</v>
      </c>
      <c r="M195" s="156">
        <f t="shared" si="28"/>
        <v>0.63</v>
      </c>
      <c r="N195" s="157">
        <f t="shared" si="29"/>
        <v>0.63</v>
      </c>
      <c r="O195" s="157" t="str">
        <f t="shared" si="32"/>
        <v/>
      </c>
      <c r="P195" s="158" t="str">
        <f t="shared" si="30"/>
        <v/>
      </c>
      <c r="Q195" s="157" t="str">
        <f t="shared" si="33"/>
        <v/>
      </c>
      <c r="R195" s="157" t="str">
        <f t="shared" si="34"/>
        <v/>
      </c>
    </row>
    <row r="196" spans="1:18" ht="14.25" customHeight="1" x14ac:dyDescent="0.2">
      <c r="A196" s="243" t="s">
        <v>30</v>
      </c>
      <c r="B196" s="216" t="s">
        <v>296</v>
      </c>
      <c r="C196" s="243" t="str">
        <f>VLOOKUP(B196,INSUMOS!$A:$I,2,FALSE)</f>
        <v>Próprio</v>
      </c>
      <c r="D196" s="243" t="str">
        <f>VLOOKUP(B196,INSUMOS!$A:$I,3,FALSE)</f>
        <v>CABO SOLAR 4 mm²</v>
      </c>
      <c r="E196" s="281" t="str">
        <f>VLOOKUP(B196,INSUMOS!$A:$I,4,FALSE)</f>
        <v>Material</v>
      </c>
      <c r="F196" s="281"/>
      <c r="G196" s="215" t="str">
        <f>VLOOKUP(B196,INSUMOS!$A:$I,5,FALSE)</f>
        <v>METRO</v>
      </c>
      <c r="H196" s="218">
        <v>1.19</v>
      </c>
      <c r="I196" s="217">
        <f>VLOOKUP(B196,INSUMOS!$A:$I,8,FALSE)</f>
        <v>7.9</v>
      </c>
      <c r="J196" s="217">
        <f>TRUNC(H196*I196,2)</f>
        <v>9.4</v>
      </c>
      <c r="L196" s="149">
        <f t="shared" si="27"/>
        <v>18</v>
      </c>
      <c r="M196" s="156">
        <f t="shared" si="28"/>
        <v>9.4</v>
      </c>
      <c r="N196" s="157" t="str">
        <f t="shared" si="29"/>
        <v/>
      </c>
      <c r="O196" s="157">
        <f t="shared" si="32"/>
        <v>9.4</v>
      </c>
      <c r="P196" s="158" t="str">
        <f t="shared" si="30"/>
        <v/>
      </c>
      <c r="Q196" s="157" t="str">
        <f t="shared" si="33"/>
        <v/>
      </c>
      <c r="R196" s="157" t="str">
        <f t="shared" si="34"/>
        <v/>
      </c>
    </row>
    <row r="197" spans="1:18" ht="25.5" customHeight="1" x14ac:dyDescent="0.2">
      <c r="A197" s="246"/>
      <c r="B197" s="246"/>
      <c r="C197" s="246"/>
      <c r="D197" s="246"/>
      <c r="E197" s="246"/>
      <c r="F197" s="222"/>
      <c r="G197" s="246"/>
      <c r="H197" s="222"/>
      <c r="I197" s="246"/>
      <c r="J197" s="222"/>
      <c r="L197" s="149">
        <f t="shared" si="27"/>
        <v>18</v>
      </c>
      <c r="M197" s="156" t="str">
        <f t="shared" si="28"/>
        <v/>
      </c>
      <c r="N197" s="157" t="str">
        <f t="shared" si="29"/>
        <v/>
      </c>
      <c r="O197" s="157" t="str">
        <f t="shared" si="32"/>
        <v/>
      </c>
      <c r="P197" s="158" t="str">
        <f t="shared" si="30"/>
        <v/>
      </c>
      <c r="Q197" s="157" t="str">
        <f t="shared" si="33"/>
        <v/>
      </c>
      <c r="R197" s="157" t="str">
        <f t="shared" si="34"/>
        <v/>
      </c>
    </row>
    <row r="198" spans="1:18" ht="14.25" customHeight="1" x14ac:dyDescent="0.2">
      <c r="A198" s="246"/>
      <c r="B198" s="246"/>
      <c r="C198" s="246"/>
      <c r="D198" s="246"/>
      <c r="E198" s="246"/>
      <c r="F198" s="222"/>
      <c r="G198" s="246"/>
      <c r="H198" s="282" t="s">
        <v>39</v>
      </c>
      <c r="I198" s="282"/>
      <c r="J198" s="222">
        <f>TRUNC(SUMIF(L:L,$L198,M:M)*(1+$J$9),2)</f>
        <v>13.26</v>
      </c>
      <c r="L198" s="149">
        <f t="shared" si="27"/>
        <v>18</v>
      </c>
      <c r="M198" s="156" t="str">
        <f t="shared" si="28"/>
        <v/>
      </c>
      <c r="N198" s="157" t="str">
        <f t="shared" si="29"/>
        <v/>
      </c>
      <c r="O198" s="157" t="str">
        <f t="shared" si="32"/>
        <v/>
      </c>
      <c r="P198" s="158" t="str">
        <f t="shared" si="30"/>
        <v/>
      </c>
      <c r="Q198" s="157" t="str">
        <f t="shared" si="33"/>
        <v/>
      </c>
      <c r="R198" s="157" t="str">
        <f t="shared" si="34"/>
        <v/>
      </c>
    </row>
    <row r="199" spans="1:18" ht="15" thickBot="1" x14ac:dyDescent="0.25">
      <c r="A199" s="219"/>
      <c r="B199" s="219"/>
      <c r="C199" s="219"/>
      <c r="D199" s="219"/>
      <c r="E199" s="219"/>
      <c r="F199" s="219"/>
      <c r="G199" s="219" t="s">
        <v>40</v>
      </c>
      <c r="H199" s="221">
        <v>1168</v>
      </c>
      <c r="I199" s="219" t="s">
        <v>41</v>
      </c>
      <c r="J199" s="220">
        <f>TRUNC(J198*H199,2)</f>
        <v>15487.68</v>
      </c>
      <c r="L199" s="149">
        <f t="shared" si="27"/>
        <v>18</v>
      </c>
      <c r="M199" s="156" t="str">
        <f t="shared" si="28"/>
        <v/>
      </c>
      <c r="N199" s="157" t="str">
        <f t="shared" si="29"/>
        <v/>
      </c>
      <c r="O199" s="157" t="str">
        <f t="shared" si="32"/>
        <v/>
      </c>
      <c r="P199" s="158" t="str">
        <f t="shared" si="30"/>
        <v/>
      </c>
      <c r="Q199" s="157" t="str">
        <f t="shared" si="33"/>
        <v/>
      </c>
      <c r="R199" s="157" t="str">
        <f t="shared" si="34"/>
        <v/>
      </c>
    </row>
    <row r="200" spans="1:18" ht="38.25" customHeight="1" thickTop="1" x14ac:dyDescent="0.2">
      <c r="A200" s="210"/>
      <c r="B200" s="210"/>
      <c r="C200" s="210"/>
      <c r="D200" s="210"/>
      <c r="E200" s="210"/>
      <c r="F200" s="210"/>
      <c r="G200" s="210"/>
      <c r="H200" s="210"/>
      <c r="I200" s="210"/>
      <c r="J200" s="210"/>
      <c r="L200" s="149">
        <f t="shared" si="27"/>
        <v>19</v>
      </c>
      <c r="M200" s="156" t="str">
        <f t="shared" si="28"/>
        <v/>
      </c>
      <c r="N200" s="157" t="str">
        <f t="shared" si="29"/>
        <v/>
      </c>
      <c r="O200" s="157" t="str">
        <f t="shared" si="32"/>
        <v/>
      </c>
      <c r="P200" s="158" t="str">
        <f t="shared" si="30"/>
        <v/>
      </c>
      <c r="Q200" s="157" t="str">
        <f t="shared" si="33"/>
        <v/>
      </c>
      <c r="R200" s="157" t="str">
        <f t="shared" si="34"/>
        <v/>
      </c>
    </row>
    <row r="201" spans="1:18" ht="14.25" customHeight="1" x14ac:dyDescent="0.2">
      <c r="A201" s="245" t="s">
        <v>482</v>
      </c>
      <c r="B201" s="203" t="s">
        <v>1</v>
      </c>
      <c r="C201" s="245" t="s">
        <v>2</v>
      </c>
      <c r="D201" s="245" t="s">
        <v>3</v>
      </c>
      <c r="E201" s="284" t="s">
        <v>17</v>
      </c>
      <c r="F201" s="284"/>
      <c r="G201" s="202" t="s">
        <v>4</v>
      </c>
      <c r="H201" s="203" t="s">
        <v>5</v>
      </c>
      <c r="I201" s="203" t="s">
        <v>6</v>
      </c>
      <c r="J201" s="203" t="s">
        <v>7</v>
      </c>
      <c r="L201" s="149">
        <f t="shared" si="27"/>
        <v>19</v>
      </c>
      <c r="M201" s="156" t="str">
        <f t="shared" si="28"/>
        <v/>
      </c>
      <c r="N201" s="157" t="str">
        <f t="shared" si="29"/>
        <v/>
      </c>
      <c r="O201" s="157" t="str">
        <f t="shared" si="32"/>
        <v/>
      </c>
      <c r="P201" s="158" t="str">
        <f t="shared" si="30"/>
        <v/>
      </c>
      <c r="Q201" s="157" t="str">
        <f t="shared" si="33"/>
        <v/>
      </c>
      <c r="R201" s="157" t="str">
        <f t="shared" si="34"/>
        <v/>
      </c>
    </row>
    <row r="202" spans="1:18" ht="14.25" customHeight="1" x14ac:dyDescent="0.2">
      <c r="A202" s="247" t="s">
        <v>18</v>
      </c>
      <c r="B202" s="207" t="s">
        <v>483</v>
      </c>
      <c r="C202" s="247" t="s">
        <v>11</v>
      </c>
      <c r="D202" s="247" t="s">
        <v>484</v>
      </c>
      <c r="E202" s="285" t="s">
        <v>268</v>
      </c>
      <c r="F202" s="285"/>
      <c r="G202" s="206" t="s">
        <v>291</v>
      </c>
      <c r="H202" s="209">
        <v>1</v>
      </c>
      <c r="I202" s="208">
        <f>SUMIF(L:L,$L202,M:M)</f>
        <v>20.25</v>
      </c>
      <c r="J202" s="208">
        <f>TRUNC(H202*I202,2)</f>
        <v>20.25</v>
      </c>
      <c r="L202" s="149">
        <f t="shared" si="27"/>
        <v>19</v>
      </c>
      <c r="M202" s="156" t="str">
        <f t="shared" si="28"/>
        <v/>
      </c>
      <c r="N202" s="157" t="str">
        <f t="shared" si="29"/>
        <v/>
      </c>
      <c r="O202" s="157" t="str">
        <f t="shared" si="32"/>
        <v/>
      </c>
      <c r="P202" s="158" t="str">
        <f t="shared" si="30"/>
        <v xml:space="preserve"> 04.03.02 </v>
      </c>
      <c r="Q202" s="157">
        <f t="shared" si="33"/>
        <v>5.4499999999999993</v>
      </c>
      <c r="R202" s="157">
        <f t="shared" si="34"/>
        <v>14.8</v>
      </c>
    </row>
    <row r="203" spans="1:18" ht="25.5" x14ac:dyDescent="0.2">
      <c r="A203" s="244" t="s">
        <v>20</v>
      </c>
      <c r="B203" s="212" t="s">
        <v>269</v>
      </c>
      <c r="C203" s="244" t="s">
        <v>8</v>
      </c>
      <c r="D203" s="244" t="s">
        <v>270</v>
      </c>
      <c r="E203" s="283" t="s">
        <v>26</v>
      </c>
      <c r="F203" s="283"/>
      <c r="G203" s="211" t="s">
        <v>27</v>
      </c>
      <c r="H203" s="214">
        <v>0.15</v>
      </c>
      <c r="I203" s="213">
        <f>SUMIFS('ANALÍTICA AUXILIARES'!J:J,'ANALÍTICA AUXILIARES'!A:A,"Composição",'ANALÍTICA AUXILIARES'!B:B,$B203)</f>
        <v>20.51</v>
      </c>
      <c r="J203" s="213">
        <f>TRUNC(H203*I203,2)</f>
        <v>3.07</v>
      </c>
      <c r="L203" s="149">
        <f t="shared" si="27"/>
        <v>19</v>
      </c>
      <c r="M203" s="156">
        <f t="shared" si="28"/>
        <v>3.07</v>
      </c>
      <c r="N203" s="157">
        <f t="shared" si="29"/>
        <v>3.07</v>
      </c>
      <c r="O203" s="157" t="str">
        <f t="shared" si="32"/>
        <v/>
      </c>
      <c r="P203" s="158" t="str">
        <f t="shared" si="30"/>
        <v/>
      </c>
      <c r="Q203" s="157" t="str">
        <f t="shared" si="33"/>
        <v/>
      </c>
      <c r="R203" s="157" t="str">
        <f t="shared" si="34"/>
        <v/>
      </c>
    </row>
    <row r="204" spans="1:18" ht="25.5" x14ac:dyDescent="0.2">
      <c r="A204" s="244" t="s">
        <v>20</v>
      </c>
      <c r="B204" s="212" t="s">
        <v>264</v>
      </c>
      <c r="C204" s="244" t="s">
        <v>8</v>
      </c>
      <c r="D204" s="244" t="s">
        <v>265</v>
      </c>
      <c r="E204" s="283" t="s">
        <v>26</v>
      </c>
      <c r="F204" s="283"/>
      <c r="G204" s="211" t="s">
        <v>27</v>
      </c>
      <c r="H204" s="214">
        <v>0.15</v>
      </c>
      <c r="I204" s="213">
        <f>SUMIFS('ANALÍTICA AUXILIARES'!J:J,'ANALÍTICA AUXILIARES'!A:A,"Composição",'ANALÍTICA AUXILIARES'!B:B,$B204)</f>
        <v>15.91</v>
      </c>
      <c r="J204" s="213">
        <f>TRUNC(H204*I204,2)</f>
        <v>2.38</v>
      </c>
      <c r="L204" s="149">
        <f t="shared" si="27"/>
        <v>19</v>
      </c>
      <c r="M204" s="156">
        <f t="shared" si="28"/>
        <v>2.38</v>
      </c>
      <c r="N204" s="157">
        <f t="shared" si="29"/>
        <v>2.38</v>
      </c>
      <c r="O204" s="157" t="str">
        <f t="shared" si="32"/>
        <v/>
      </c>
      <c r="P204" s="158" t="str">
        <f t="shared" si="30"/>
        <v/>
      </c>
      <c r="Q204" s="157" t="str">
        <f t="shared" si="33"/>
        <v/>
      </c>
      <c r="R204" s="157" t="str">
        <f t="shared" si="34"/>
        <v/>
      </c>
    </row>
    <row r="205" spans="1:18" ht="25.5" customHeight="1" x14ac:dyDescent="0.2">
      <c r="A205" s="243" t="s">
        <v>30</v>
      </c>
      <c r="B205" s="216" t="s">
        <v>321</v>
      </c>
      <c r="C205" s="243" t="str">
        <f>VLOOKUP(B205,INSUMOS!$A:$I,2,FALSE)</f>
        <v>Próprio</v>
      </c>
      <c r="D205" s="243" t="str">
        <f>VLOOKUP(B205,INSUMOS!$A:$I,3,FALSE)</f>
        <v>CONECTOR MC4</v>
      </c>
      <c r="E205" s="281" t="str">
        <f>VLOOKUP(B205,INSUMOS!$A:$I,4,FALSE)</f>
        <v>Material</v>
      </c>
      <c r="F205" s="281"/>
      <c r="G205" s="215" t="str">
        <f>VLOOKUP(B205,INSUMOS!$A:$I,5,FALSE)</f>
        <v>UNIDADE</v>
      </c>
      <c r="H205" s="218">
        <v>1</v>
      </c>
      <c r="I205" s="217">
        <f>VLOOKUP(B205,INSUMOS!$A:$I,8,FALSE)</f>
        <v>14.8</v>
      </c>
      <c r="J205" s="217">
        <f>TRUNC(H205*I205,2)</f>
        <v>14.8</v>
      </c>
      <c r="L205" s="149">
        <f t="shared" si="27"/>
        <v>19</v>
      </c>
      <c r="M205" s="156">
        <f t="shared" si="28"/>
        <v>14.8</v>
      </c>
      <c r="N205" s="157" t="str">
        <f t="shared" si="29"/>
        <v/>
      </c>
      <c r="O205" s="157">
        <f t="shared" si="32"/>
        <v>14.8</v>
      </c>
      <c r="P205" s="158" t="str">
        <f t="shared" si="30"/>
        <v/>
      </c>
      <c r="Q205" s="157" t="str">
        <f t="shared" si="33"/>
        <v/>
      </c>
      <c r="R205" s="157" t="str">
        <f t="shared" si="34"/>
        <v/>
      </c>
    </row>
    <row r="206" spans="1:18" x14ac:dyDescent="0.2">
      <c r="A206" s="246"/>
      <c r="B206" s="246"/>
      <c r="C206" s="246"/>
      <c r="D206" s="246"/>
      <c r="E206" s="246"/>
      <c r="F206" s="222"/>
      <c r="G206" s="246"/>
      <c r="H206" s="222"/>
      <c r="I206" s="246"/>
      <c r="J206" s="222"/>
      <c r="L206" s="149">
        <f t="shared" si="27"/>
        <v>19</v>
      </c>
      <c r="M206" s="156" t="str">
        <f t="shared" si="28"/>
        <v/>
      </c>
      <c r="N206" s="157" t="str">
        <f t="shared" si="29"/>
        <v/>
      </c>
      <c r="O206" s="157" t="str">
        <f t="shared" si="32"/>
        <v/>
      </c>
      <c r="P206" s="158" t="str">
        <f t="shared" si="30"/>
        <v/>
      </c>
      <c r="Q206" s="157" t="str">
        <f t="shared" si="33"/>
        <v/>
      </c>
      <c r="R206" s="157" t="str">
        <f t="shared" si="34"/>
        <v/>
      </c>
    </row>
    <row r="207" spans="1:18" ht="14.25" customHeight="1" x14ac:dyDescent="0.2">
      <c r="A207" s="246"/>
      <c r="B207" s="246"/>
      <c r="C207" s="246"/>
      <c r="D207" s="246"/>
      <c r="E207" s="246"/>
      <c r="F207" s="222"/>
      <c r="G207" s="246"/>
      <c r="H207" s="282" t="s">
        <v>39</v>
      </c>
      <c r="I207" s="282"/>
      <c r="J207" s="222">
        <f>TRUNC(SUMIF(L:L,$L207,M:M)*(1+$J$9),2)</f>
        <v>24.75</v>
      </c>
      <c r="L207" s="149">
        <f t="shared" ref="L207:L270" si="35">IF(AND(A208&lt;&gt;"",A207=""),L206+1,L206)</f>
        <v>19</v>
      </c>
      <c r="M207" s="156" t="str">
        <f t="shared" ref="M207:M270" si="36">IF(OR(A207="Insumo",A207="Composição Auxiliar"),J207,"")</f>
        <v/>
      </c>
      <c r="N207" s="157" t="str">
        <f t="shared" ref="N207:N270" si="37">IF(ISNUMBER(SEARCH("COM ENCARGOS COMPLEMENTARES",D207)),J207,"")</f>
        <v/>
      </c>
      <c r="O207" s="157" t="str">
        <f t="shared" si="32"/>
        <v/>
      </c>
      <c r="P207" s="158" t="str">
        <f t="shared" ref="P207:P270" si="38">IF(A207="Composição",A206,"")</f>
        <v/>
      </c>
      <c r="Q207" s="157" t="str">
        <f>IF(P207&lt;&gt;"",SUMIF(L207:L306,L207,N207:N306),"")</f>
        <v/>
      </c>
      <c r="R207" s="157" t="str">
        <f>IF(P207&lt;&gt;"",SUMIF(L207:L306,L207,O207:O306),"")</f>
        <v/>
      </c>
    </row>
    <row r="208" spans="1:18" ht="14.25" customHeight="1" thickBot="1" x14ac:dyDescent="0.25">
      <c r="A208" s="219"/>
      <c r="B208" s="219"/>
      <c r="C208" s="219"/>
      <c r="D208" s="219"/>
      <c r="E208" s="219"/>
      <c r="F208" s="219"/>
      <c r="G208" s="219" t="s">
        <v>40</v>
      </c>
      <c r="H208" s="221">
        <v>64</v>
      </c>
      <c r="I208" s="219" t="s">
        <v>41</v>
      </c>
      <c r="J208" s="220">
        <f>TRUNC(J207*H208,2)</f>
        <v>1584</v>
      </c>
      <c r="L208" s="149">
        <f t="shared" si="35"/>
        <v>19</v>
      </c>
      <c r="M208" s="156" t="str">
        <f t="shared" si="36"/>
        <v/>
      </c>
      <c r="N208" s="157" t="str">
        <f t="shared" si="37"/>
        <v/>
      </c>
      <c r="O208" s="157" t="str">
        <f t="shared" si="32"/>
        <v/>
      </c>
      <c r="P208" s="158" t="str">
        <f t="shared" si="38"/>
        <v/>
      </c>
      <c r="Q208" s="157" t="str">
        <f>IF(P208&lt;&gt;"",SUMIF(L208:L306,L208,N208:N306),"")</f>
        <v/>
      </c>
      <c r="R208" s="157" t="str">
        <f>IF(P208&lt;&gt;"",SUMIF(L208:L306,L208,O208:O306),"")</f>
        <v/>
      </c>
    </row>
    <row r="209" spans="1:18" ht="15" thickTop="1" x14ac:dyDescent="0.2">
      <c r="A209" s="210"/>
      <c r="B209" s="210"/>
      <c r="C209" s="210"/>
      <c r="D209" s="210"/>
      <c r="E209" s="210"/>
      <c r="F209" s="210"/>
      <c r="G209" s="210"/>
      <c r="H209" s="210"/>
      <c r="I209" s="210"/>
      <c r="J209" s="210"/>
      <c r="L209" s="149">
        <f t="shared" si="35"/>
        <v>20</v>
      </c>
      <c r="M209" s="156" t="str">
        <f t="shared" si="36"/>
        <v/>
      </c>
      <c r="N209" s="157" t="str">
        <f t="shared" si="37"/>
        <v/>
      </c>
      <c r="O209" s="157" t="str">
        <f t="shared" si="32"/>
        <v/>
      </c>
      <c r="P209" s="158" t="str">
        <f t="shared" si="38"/>
        <v/>
      </c>
      <c r="Q209" s="157" t="str">
        <f>IF(P209&lt;&gt;"",SUMIF(L209:L306,L209,N209:N306),"")</f>
        <v/>
      </c>
      <c r="R209" s="157" t="str">
        <f>IF(P209&lt;&gt;"",SUMIF(L209:L306,L209,O209:O306),"")</f>
        <v/>
      </c>
    </row>
    <row r="210" spans="1:18" ht="15" x14ac:dyDescent="0.2">
      <c r="A210" s="245" t="s">
        <v>485</v>
      </c>
      <c r="B210" s="203" t="s">
        <v>1</v>
      </c>
      <c r="C210" s="245" t="s">
        <v>2</v>
      </c>
      <c r="D210" s="245" t="s">
        <v>3</v>
      </c>
      <c r="E210" s="284" t="s">
        <v>17</v>
      </c>
      <c r="F210" s="284"/>
      <c r="G210" s="202" t="s">
        <v>4</v>
      </c>
      <c r="H210" s="203" t="s">
        <v>5</v>
      </c>
      <c r="I210" s="203" t="s">
        <v>6</v>
      </c>
      <c r="J210" s="203" t="s">
        <v>7</v>
      </c>
      <c r="L210" s="149">
        <f t="shared" si="35"/>
        <v>20</v>
      </c>
      <c r="M210" s="156" t="str">
        <f t="shared" si="36"/>
        <v/>
      </c>
      <c r="N210" s="157" t="str">
        <f t="shared" si="37"/>
        <v/>
      </c>
      <c r="O210" s="157" t="str">
        <f t="shared" si="32"/>
        <v/>
      </c>
      <c r="P210" s="158" t="str">
        <f t="shared" si="38"/>
        <v/>
      </c>
      <c r="Q210" s="157" t="str">
        <f>IF(P210&lt;&gt;"",SUMIF(L210:L306,L210,N210:N306),"")</f>
        <v/>
      </c>
      <c r="R210" s="157" t="str">
        <f>IF(P210&lt;&gt;"",SUMIF(L210:L306,L210,O210:O306),"")</f>
        <v/>
      </c>
    </row>
    <row r="211" spans="1:18" ht="25.5" customHeight="1" x14ac:dyDescent="0.2">
      <c r="A211" s="247" t="s">
        <v>18</v>
      </c>
      <c r="B211" s="207" t="s">
        <v>486</v>
      </c>
      <c r="C211" s="247" t="s">
        <v>8</v>
      </c>
      <c r="D211" s="247" t="s">
        <v>487</v>
      </c>
      <c r="E211" s="285" t="s">
        <v>268</v>
      </c>
      <c r="F211" s="285"/>
      <c r="G211" s="206" t="s">
        <v>14</v>
      </c>
      <c r="H211" s="209">
        <v>1</v>
      </c>
      <c r="I211" s="208">
        <f>SUMIF(L:L,$L211,M:M)</f>
        <v>31.18</v>
      </c>
      <c r="J211" s="208">
        <f>TRUNC(H211*I211,2)</f>
        <v>31.18</v>
      </c>
      <c r="L211" s="149">
        <f t="shared" si="35"/>
        <v>20</v>
      </c>
      <c r="M211" s="156" t="str">
        <f t="shared" si="36"/>
        <v/>
      </c>
      <c r="N211" s="157" t="str">
        <f t="shared" si="37"/>
        <v/>
      </c>
      <c r="O211" s="157" t="str">
        <f t="shared" si="32"/>
        <v/>
      </c>
      <c r="P211" s="158" t="str">
        <f t="shared" si="38"/>
        <v xml:space="preserve"> 04.03.03 </v>
      </c>
      <c r="Q211" s="157">
        <f>IF(P211&lt;&gt;"",SUMIF(L211:L306,L211,N211:N306),"")</f>
        <v>3.16</v>
      </c>
      <c r="R211" s="157">
        <f>IF(P211&lt;&gt;"",SUMIF(L211:L306,L211,O211:O306),"")</f>
        <v>28.02</v>
      </c>
    </row>
    <row r="212" spans="1:18" ht="25.5" customHeight="1" x14ac:dyDescent="0.2">
      <c r="A212" s="244" t="s">
        <v>20</v>
      </c>
      <c r="B212" s="212" t="s">
        <v>264</v>
      </c>
      <c r="C212" s="244" t="s">
        <v>8</v>
      </c>
      <c r="D212" s="244" t="s">
        <v>265</v>
      </c>
      <c r="E212" s="283" t="s">
        <v>26</v>
      </c>
      <c r="F212" s="283"/>
      <c r="G212" s="211" t="s">
        <v>27</v>
      </c>
      <c r="H212" s="214">
        <v>8.6999999999999994E-2</v>
      </c>
      <c r="I212" s="213">
        <f>SUMIFS('ANALÍTICA AUXILIARES'!J:J,'ANALÍTICA AUXILIARES'!A:A,"Composição",'ANALÍTICA AUXILIARES'!B:B,$B212)</f>
        <v>15.91</v>
      </c>
      <c r="J212" s="213">
        <f>TRUNC(H212*I212,2)</f>
        <v>1.38</v>
      </c>
      <c r="L212" s="149">
        <f t="shared" si="35"/>
        <v>20</v>
      </c>
      <c r="M212" s="156">
        <f t="shared" si="36"/>
        <v>1.38</v>
      </c>
      <c r="N212" s="157">
        <f t="shared" si="37"/>
        <v>1.38</v>
      </c>
      <c r="O212" s="157" t="str">
        <f t="shared" si="32"/>
        <v/>
      </c>
      <c r="P212" s="158" t="str">
        <f t="shared" si="38"/>
        <v/>
      </c>
      <c r="Q212" s="157" t="str">
        <f>IF(P212&lt;&gt;"",SUMIF(L212:L306,L212,N212:N306),"")</f>
        <v/>
      </c>
      <c r="R212" s="157" t="str">
        <f>IF(P212&lt;&gt;"",SUMIF(L212:L306,L212,O212:O306),"")</f>
        <v/>
      </c>
    </row>
    <row r="213" spans="1:18" ht="25.5" x14ac:dyDescent="0.2">
      <c r="A213" s="244" t="s">
        <v>20</v>
      </c>
      <c r="B213" s="212" t="s">
        <v>269</v>
      </c>
      <c r="C213" s="244" t="s">
        <v>8</v>
      </c>
      <c r="D213" s="244" t="s">
        <v>270</v>
      </c>
      <c r="E213" s="283" t="s">
        <v>26</v>
      </c>
      <c r="F213" s="283"/>
      <c r="G213" s="211" t="s">
        <v>27</v>
      </c>
      <c r="H213" s="214">
        <v>8.6999999999999994E-2</v>
      </c>
      <c r="I213" s="213">
        <f>SUMIFS('ANALÍTICA AUXILIARES'!J:J,'ANALÍTICA AUXILIARES'!A:A,"Composição",'ANALÍTICA AUXILIARES'!B:B,$B213)</f>
        <v>20.51</v>
      </c>
      <c r="J213" s="213">
        <f>TRUNC(H213*I213,2)</f>
        <v>1.78</v>
      </c>
      <c r="L213" s="149">
        <f t="shared" si="35"/>
        <v>20</v>
      </c>
      <c r="M213" s="156">
        <f t="shared" si="36"/>
        <v>1.78</v>
      </c>
      <c r="N213" s="157">
        <f t="shared" si="37"/>
        <v>1.78</v>
      </c>
      <c r="O213" s="157" t="str">
        <f t="shared" si="32"/>
        <v/>
      </c>
      <c r="P213" s="158" t="str">
        <f t="shared" si="38"/>
        <v/>
      </c>
      <c r="Q213" s="157" t="str">
        <f>IF(P213&lt;&gt;"",SUMIF(L213:L306,L213,N213:N306),"")</f>
        <v/>
      </c>
      <c r="R213" s="157" t="str">
        <f>IF(P213&lt;&gt;"",SUMIF(L213:L306,L213,O213:O306),"")</f>
        <v/>
      </c>
    </row>
    <row r="214" spans="1:18" ht="38.25" x14ac:dyDescent="0.2">
      <c r="A214" s="243" t="s">
        <v>30</v>
      </c>
      <c r="B214" s="216" t="s">
        <v>332</v>
      </c>
      <c r="C214" s="243" t="str">
        <f>VLOOKUP(B214,INSUMOS!$A:$I,2,FALSE)</f>
        <v>SINAPI</v>
      </c>
      <c r="D214" s="243" t="str">
        <f>VLOOKUP(B214,INSUMOS!$A:$I,3,FALSE)</f>
        <v>CABO DE COBRE, FLEXIVEL, CLASSE 4 OU 5, ISOLACAO EM PVC/A, ANTICHAMA BWF-B, COBERTURA PVC-ST1, ANTICHAMA BWF-B, 1 CONDUTOR, 0,6/1 KV, SECAO NOMINAL 50 MM2</v>
      </c>
      <c r="E214" s="281" t="str">
        <f>VLOOKUP(B214,INSUMOS!$A:$I,4,FALSE)</f>
        <v>Material</v>
      </c>
      <c r="F214" s="281"/>
      <c r="G214" s="215" t="str">
        <f>VLOOKUP(B214,INSUMOS!$A:$I,5,FALSE)</f>
        <v>M</v>
      </c>
      <c r="H214" s="218">
        <v>1.0149999999999999</v>
      </c>
      <c r="I214" s="217">
        <f>VLOOKUP(B214,INSUMOS!$A:$I,8,FALSE)</f>
        <v>27.59</v>
      </c>
      <c r="J214" s="217">
        <f>TRUNC(H214*I214,2)</f>
        <v>28</v>
      </c>
      <c r="L214" s="149">
        <f t="shared" si="35"/>
        <v>20</v>
      </c>
      <c r="M214" s="156">
        <f t="shared" si="36"/>
        <v>28</v>
      </c>
      <c r="N214" s="157" t="str">
        <f t="shared" si="37"/>
        <v/>
      </c>
      <c r="O214" s="157">
        <f t="shared" si="32"/>
        <v>28</v>
      </c>
      <c r="P214" s="158" t="str">
        <f t="shared" si="38"/>
        <v/>
      </c>
      <c r="Q214" s="157" t="str">
        <f>IF(P214&lt;&gt;"",SUMIF(L214:L306,L214,N214:N306),"")</f>
        <v/>
      </c>
      <c r="R214" s="157" t="str">
        <f>IF(P214&lt;&gt;"",SUMIF(L214:L306,L214,O214:O306),"")</f>
        <v/>
      </c>
    </row>
    <row r="215" spans="1:18" ht="14.25" customHeight="1" x14ac:dyDescent="0.2">
      <c r="A215" s="243" t="s">
        <v>30</v>
      </c>
      <c r="B215" s="216" t="s">
        <v>234</v>
      </c>
      <c r="C215" s="243" t="str">
        <f>VLOOKUP(B215,INSUMOS!$A:$I,2,FALSE)</f>
        <v>SINAPI</v>
      </c>
      <c r="D215" s="243" t="str">
        <f>VLOOKUP(B215,INSUMOS!$A:$I,3,FALSE)</f>
        <v>FITA ISOLANTE ADESIVA ANTICHAMA, USO ATE 750 V, EM ROLO DE 19 MM X 5 M</v>
      </c>
      <c r="E215" s="281" t="str">
        <f>VLOOKUP(B215,INSUMOS!$A:$I,4,FALSE)</f>
        <v>Material</v>
      </c>
      <c r="F215" s="281"/>
      <c r="G215" s="215" t="str">
        <f>VLOOKUP(B215,INSUMOS!$A:$I,5,FALSE)</f>
        <v>UN</v>
      </c>
      <c r="H215" s="218">
        <v>8.9999999999999993E-3</v>
      </c>
      <c r="I215" s="217">
        <f>VLOOKUP(B215,INSUMOS!$A:$I,8,FALSE)</f>
        <v>2.79</v>
      </c>
      <c r="J215" s="217">
        <f>TRUNC(H215*I215,2)</f>
        <v>0.02</v>
      </c>
      <c r="L215" s="149">
        <f t="shared" si="35"/>
        <v>20</v>
      </c>
      <c r="M215" s="156">
        <f t="shared" si="36"/>
        <v>0.02</v>
      </c>
      <c r="N215" s="157" t="str">
        <f t="shared" si="37"/>
        <v/>
      </c>
      <c r="O215" s="157">
        <f t="shared" si="32"/>
        <v>0.02</v>
      </c>
      <c r="P215" s="158" t="str">
        <f t="shared" si="38"/>
        <v/>
      </c>
      <c r="Q215" s="157" t="str">
        <f>IF(P215&lt;&gt;"",SUMIF(L215:L306,L215,N215:N306),"")</f>
        <v/>
      </c>
      <c r="R215" s="157" t="str">
        <f>IF(P215&lt;&gt;"",SUMIF(L215:L306,L215,O215:O306),"")</f>
        <v/>
      </c>
    </row>
    <row r="216" spans="1:18" x14ac:dyDescent="0.2">
      <c r="A216" s="246"/>
      <c r="B216" s="246"/>
      <c r="C216" s="246"/>
      <c r="D216" s="246"/>
      <c r="E216" s="246"/>
      <c r="F216" s="222"/>
      <c r="G216" s="246"/>
      <c r="H216" s="222"/>
      <c r="I216" s="246"/>
      <c r="J216" s="222"/>
      <c r="L216" s="149">
        <f t="shared" si="35"/>
        <v>20</v>
      </c>
      <c r="M216" s="156" t="str">
        <f t="shared" si="36"/>
        <v/>
      </c>
      <c r="N216" s="157" t="str">
        <f t="shared" si="37"/>
        <v/>
      </c>
      <c r="O216" s="157" t="str">
        <f t="shared" si="32"/>
        <v/>
      </c>
      <c r="P216" s="158" t="str">
        <f t="shared" si="38"/>
        <v/>
      </c>
      <c r="Q216" s="157" t="str">
        <f>IF(P216&lt;&gt;"",SUMIF(L216:L306,L216,N216:N306),"")</f>
        <v/>
      </c>
      <c r="R216" s="157" t="str">
        <f>IF(P216&lt;&gt;"",SUMIF(L216:L306,L216,O216:O306),"")</f>
        <v/>
      </c>
    </row>
    <row r="217" spans="1:18" ht="14.25" customHeight="1" x14ac:dyDescent="0.2">
      <c r="A217" s="246"/>
      <c r="B217" s="246"/>
      <c r="C217" s="246"/>
      <c r="D217" s="246"/>
      <c r="E217" s="246"/>
      <c r="F217" s="222"/>
      <c r="G217" s="246"/>
      <c r="H217" s="282" t="s">
        <v>39</v>
      </c>
      <c r="I217" s="282"/>
      <c r="J217" s="222">
        <f>TRUNC(SUMIF(L:L,$L217,M:M)*(1+$J$9),2)</f>
        <v>38.11</v>
      </c>
      <c r="L217" s="149">
        <f t="shared" si="35"/>
        <v>20</v>
      </c>
      <c r="M217" s="156" t="str">
        <f t="shared" si="36"/>
        <v/>
      </c>
      <c r="N217" s="157" t="str">
        <f t="shared" si="37"/>
        <v/>
      </c>
      <c r="O217" s="157" t="str">
        <f t="shared" si="32"/>
        <v/>
      </c>
      <c r="P217" s="158" t="str">
        <f t="shared" si="38"/>
        <v/>
      </c>
      <c r="Q217" s="157" t="str">
        <f>IF(P217&lt;&gt;"",SUMIF(L217:L306,L217,N217:N306),"")</f>
        <v/>
      </c>
      <c r="R217" s="157" t="str">
        <f>IF(P217&lt;&gt;"",SUMIF(L217:L306,L217,O217:O306),"")</f>
        <v/>
      </c>
    </row>
    <row r="218" spans="1:18" ht="15" thickBot="1" x14ac:dyDescent="0.25">
      <c r="A218" s="219"/>
      <c r="B218" s="219"/>
      <c r="C218" s="219"/>
      <c r="D218" s="219"/>
      <c r="E218" s="219"/>
      <c r="F218" s="219"/>
      <c r="G218" s="219" t="s">
        <v>40</v>
      </c>
      <c r="H218" s="221">
        <v>16</v>
      </c>
      <c r="I218" s="219" t="s">
        <v>41</v>
      </c>
      <c r="J218" s="220">
        <f>TRUNC(J217*H218,2)</f>
        <v>609.76</v>
      </c>
      <c r="L218" s="149">
        <f t="shared" si="35"/>
        <v>20</v>
      </c>
      <c r="M218" s="156" t="str">
        <f t="shared" si="36"/>
        <v/>
      </c>
      <c r="N218" s="157" t="str">
        <f t="shared" si="37"/>
        <v/>
      </c>
      <c r="O218" s="157" t="str">
        <f t="shared" si="32"/>
        <v/>
      </c>
      <c r="P218" s="158" t="str">
        <f t="shared" si="38"/>
        <v/>
      </c>
      <c r="Q218" s="157" t="str">
        <f>IF(P218&lt;&gt;"",SUMIF(L218:L306,L218,N218:N306),"")</f>
        <v/>
      </c>
      <c r="R218" s="157" t="str">
        <f>IF(P218&lt;&gt;"",SUMIF(L218:L306,L218,O218:O306),"")</f>
        <v/>
      </c>
    </row>
    <row r="219" spans="1:18" ht="25.5" customHeight="1" thickTop="1" x14ac:dyDescent="0.2">
      <c r="A219" s="210"/>
      <c r="B219" s="210"/>
      <c r="C219" s="210"/>
      <c r="D219" s="210"/>
      <c r="E219" s="210"/>
      <c r="F219" s="210"/>
      <c r="G219" s="210"/>
      <c r="H219" s="210"/>
      <c r="I219" s="210"/>
      <c r="J219" s="210"/>
      <c r="L219" s="149">
        <f t="shared" si="35"/>
        <v>21</v>
      </c>
      <c r="M219" s="156" t="str">
        <f t="shared" si="36"/>
        <v/>
      </c>
      <c r="N219" s="157" t="str">
        <f t="shared" si="37"/>
        <v/>
      </c>
      <c r="O219" s="157" t="str">
        <f t="shared" si="32"/>
        <v/>
      </c>
      <c r="P219" s="158" t="str">
        <f t="shared" si="38"/>
        <v/>
      </c>
      <c r="Q219" s="157" t="str">
        <f>IF(P219&lt;&gt;"",SUMIF(L219:L306,L219,N219:N306),"")</f>
        <v/>
      </c>
      <c r="R219" s="157" t="str">
        <f>IF(P219&lt;&gt;"",SUMIF(L219:L306,L219,O219:O306),"")</f>
        <v/>
      </c>
    </row>
    <row r="220" spans="1:18" ht="14.25" customHeight="1" x14ac:dyDescent="0.2">
      <c r="A220" s="245" t="s">
        <v>488</v>
      </c>
      <c r="B220" s="203" t="s">
        <v>1</v>
      </c>
      <c r="C220" s="245" t="s">
        <v>2</v>
      </c>
      <c r="D220" s="245" t="s">
        <v>3</v>
      </c>
      <c r="E220" s="284" t="s">
        <v>17</v>
      </c>
      <c r="F220" s="284"/>
      <c r="G220" s="202" t="s">
        <v>4</v>
      </c>
      <c r="H220" s="203" t="s">
        <v>5</v>
      </c>
      <c r="I220" s="203" t="s">
        <v>6</v>
      </c>
      <c r="J220" s="203" t="s">
        <v>7</v>
      </c>
      <c r="L220" s="149">
        <f t="shared" si="35"/>
        <v>21</v>
      </c>
      <c r="M220" s="156" t="str">
        <f t="shared" si="36"/>
        <v/>
      </c>
      <c r="N220" s="157" t="str">
        <f t="shared" si="37"/>
        <v/>
      </c>
      <c r="O220" s="157" t="str">
        <f t="shared" si="32"/>
        <v/>
      </c>
      <c r="P220" s="158" t="str">
        <f t="shared" si="38"/>
        <v/>
      </c>
      <c r="Q220" s="157" t="str">
        <f>IF(P220&lt;&gt;"",SUMIF(L220:L306,L220,N220:N306),"")</f>
        <v/>
      </c>
      <c r="R220" s="157" t="str">
        <f>IF(P220&lt;&gt;"",SUMIF(L220:L306,L220,O220:O306),"")</f>
        <v/>
      </c>
    </row>
    <row r="221" spans="1:18" ht="25.5" customHeight="1" x14ac:dyDescent="0.2">
      <c r="A221" s="247" t="s">
        <v>18</v>
      </c>
      <c r="B221" s="207" t="s">
        <v>489</v>
      </c>
      <c r="C221" s="247" t="s">
        <v>8</v>
      </c>
      <c r="D221" s="247" t="s">
        <v>490</v>
      </c>
      <c r="E221" s="285" t="s">
        <v>268</v>
      </c>
      <c r="F221" s="285"/>
      <c r="G221" s="206" t="s">
        <v>12</v>
      </c>
      <c r="H221" s="209">
        <v>1</v>
      </c>
      <c r="I221" s="208">
        <f>SUMIF(L:L,$L221,M:M)</f>
        <v>20.02</v>
      </c>
      <c r="J221" s="208">
        <f>TRUNC(H221*I221,2)</f>
        <v>20.02</v>
      </c>
      <c r="L221" s="149">
        <f t="shared" si="35"/>
        <v>21</v>
      </c>
      <c r="M221" s="156" t="str">
        <f t="shared" si="36"/>
        <v/>
      </c>
      <c r="N221" s="157" t="str">
        <f t="shared" si="37"/>
        <v/>
      </c>
      <c r="O221" s="157" t="str">
        <f t="shared" si="32"/>
        <v/>
      </c>
      <c r="P221" s="158" t="str">
        <f t="shared" si="38"/>
        <v xml:space="preserve"> 04.03.04 </v>
      </c>
      <c r="Q221" s="157">
        <f>IF(P221&lt;&gt;"",SUMIF(L221:L306,L221,N221:N306),"")</f>
        <v>14.559999999999999</v>
      </c>
      <c r="R221" s="157">
        <f>IF(P221&lt;&gt;"",SUMIF(L221:L306,L221,O221:O306),"")</f>
        <v>5.46</v>
      </c>
    </row>
    <row r="222" spans="1:18" ht="14.25" customHeight="1" x14ac:dyDescent="0.2">
      <c r="A222" s="244" t="s">
        <v>20</v>
      </c>
      <c r="B222" s="212" t="s">
        <v>264</v>
      </c>
      <c r="C222" s="244" t="s">
        <v>8</v>
      </c>
      <c r="D222" s="244" t="s">
        <v>265</v>
      </c>
      <c r="E222" s="283" t="s">
        <v>26</v>
      </c>
      <c r="F222" s="283"/>
      <c r="G222" s="211" t="s">
        <v>27</v>
      </c>
      <c r="H222" s="214">
        <v>0.4</v>
      </c>
      <c r="I222" s="213">
        <f>SUMIFS('ANALÍTICA AUXILIARES'!J:J,'ANALÍTICA AUXILIARES'!A:A,"Composição",'ANALÍTICA AUXILIARES'!B:B,$B222)</f>
        <v>15.91</v>
      </c>
      <c r="J222" s="213">
        <f>TRUNC(H222*I222,2)</f>
        <v>6.36</v>
      </c>
      <c r="L222" s="149">
        <f t="shared" si="35"/>
        <v>21</v>
      </c>
      <c r="M222" s="156">
        <f t="shared" si="36"/>
        <v>6.36</v>
      </c>
      <c r="N222" s="157">
        <f t="shared" si="37"/>
        <v>6.36</v>
      </c>
      <c r="O222" s="157" t="str">
        <f t="shared" si="32"/>
        <v/>
      </c>
      <c r="P222" s="158" t="str">
        <f t="shared" si="38"/>
        <v/>
      </c>
      <c r="Q222" s="157" t="str">
        <f>IF(P222&lt;&gt;"",SUMIF(L222:L306,L222,N222:N306),"")</f>
        <v/>
      </c>
      <c r="R222" s="157" t="str">
        <f>IF(P222&lt;&gt;"",SUMIF(L222:L306,L222,O222:O306),"")</f>
        <v/>
      </c>
    </row>
    <row r="223" spans="1:18" ht="25.5" x14ac:dyDescent="0.2">
      <c r="A223" s="244" t="s">
        <v>20</v>
      </c>
      <c r="B223" s="212" t="s">
        <v>269</v>
      </c>
      <c r="C223" s="244" t="s">
        <v>8</v>
      </c>
      <c r="D223" s="244" t="s">
        <v>270</v>
      </c>
      <c r="E223" s="283" t="s">
        <v>26</v>
      </c>
      <c r="F223" s="283"/>
      <c r="G223" s="211" t="s">
        <v>27</v>
      </c>
      <c r="H223" s="214">
        <v>0.4</v>
      </c>
      <c r="I223" s="213">
        <f>SUMIFS('ANALÍTICA AUXILIARES'!J:J,'ANALÍTICA AUXILIARES'!A:A,"Composição",'ANALÍTICA AUXILIARES'!B:B,$B223)</f>
        <v>20.51</v>
      </c>
      <c r="J223" s="213">
        <f>TRUNC(H223*I223,2)</f>
        <v>8.1999999999999993</v>
      </c>
      <c r="L223" s="149">
        <f t="shared" si="35"/>
        <v>21</v>
      </c>
      <c r="M223" s="156">
        <f t="shared" si="36"/>
        <v>8.1999999999999993</v>
      </c>
      <c r="N223" s="157">
        <f t="shared" si="37"/>
        <v>8.1999999999999993</v>
      </c>
      <c r="O223" s="157" t="str">
        <f t="shared" si="32"/>
        <v/>
      </c>
      <c r="P223" s="158" t="str">
        <f t="shared" si="38"/>
        <v/>
      </c>
      <c r="Q223" s="157" t="str">
        <f>IF(P223&lt;&gt;"",SUMIF(L223:L306,L223,N223:N306),"")</f>
        <v/>
      </c>
      <c r="R223" s="157" t="str">
        <f>IF(P223&lt;&gt;"",SUMIF(L223:L306,L223,O223:O306),"")</f>
        <v/>
      </c>
    </row>
    <row r="224" spans="1:18" ht="25.5" customHeight="1" x14ac:dyDescent="0.2">
      <c r="A224" s="243" t="s">
        <v>30</v>
      </c>
      <c r="B224" s="216" t="s">
        <v>375</v>
      </c>
      <c r="C224" s="243" t="str">
        <f>VLOOKUP(B224,INSUMOS!$A:$I,2,FALSE)</f>
        <v>SINAPI</v>
      </c>
      <c r="D224" s="243" t="str">
        <f>VLOOKUP(B224,INSUMOS!$A:$I,3,FALSE)</f>
        <v>TERMINAL METALICO A PRESSAO PARA 1 CABO DE 50 MM2, COM 1 FURO DE FIXACAO</v>
      </c>
      <c r="E224" s="281" t="str">
        <f>VLOOKUP(B224,INSUMOS!$A:$I,4,FALSE)</f>
        <v>Material</v>
      </c>
      <c r="F224" s="281"/>
      <c r="G224" s="215" t="str">
        <f>VLOOKUP(B224,INSUMOS!$A:$I,5,FALSE)</f>
        <v>UN</v>
      </c>
      <c r="H224" s="218">
        <v>1</v>
      </c>
      <c r="I224" s="217">
        <f>VLOOKUP(B224,INSUMOS!$A:$I,8,FALSE)</f>
        <v>5.46</v>
      </c>
      <c r="J224" s="217">
        <f>TRUNC(H224*I224,2)</f>
        <v>5.46</v>
      </c>
      <c r="L224" s="149">
        <f t="shared" si="35"/>
        <v>21</v>
      </c>
      <c r="M224" s="156">
        <f t="shared" si="36"/>
        <v>5.46</v>
      </c>
      <c r="N224" s="157" t="str">
        <f t="shared" si="37"/>
        <v/>
      </c>
      <c r="O224" s="157">
        <f t="shared" si="32"/>
        <v>5.46</v>
      </c>
      <c r="P224" s="158" t="str">
        <f t="shared" si="38"/>
        <v/>
      </c>
      <c r="Q224" s="157" t="str">
        <f>IF(P224&lt;&gt;"",SUMIF(L224:L306,L224,N224:N306),"")</f>
        <v/>
      </c>
      <c r="R224" s="157" t="str">
        <f>IF(P224&lt;&gt;"",SUMIF(L224:L306,L224,O224:O306),"")</f>
        <v/>
      </c>
    </row>
    <row r="225" spans="1:18" x14ac:dyDescent="0.2">
      <c r="A225" s="246"/>
      <c r="B225" s="246"/>
      <c r="C225" s="246"/>
      <c r="D225" s="246"/>
      <c r="E225" s="246"/>
      <c r="F225" s="222"/>
      <c r="G225" s="246"/>
      <c r="H225" s="222"/>
      <c r="I225" s="246"/>
      <c r="J225" s="222"/>
      <c r="L225" s="149">
        <f t="shared" si="35"/>
        <v>21</v>
      </c>
      <c r="M225" s="156" t="str">
        <f t="shared" si="36"/>
        <v/>
      </c>
      <c r="N225" s="157" t="str">
        <f t="shared" si="37"/>
        <v/>
      </c>
      <c r="O225" s="157" t="str">
        <f t="shared" si="32"/>
        <v/>
      </c>
      <c r="P225" s="158" t="str">
        <f t="shared" si="38"/>
        <v/>
      </c>
      <c r="Q225" s="157" t="str">
        <f>IF(P225&lt;&gt;"",SUMIF(L225:L306,L225,N225:N306),"")</f>
        <v/>
      </c>
      <c r="R225" s="157" t="str">
        <f>IF(P225&lt;&gt;"",SUMIF(L225:L306,L225,O225:O306),"")</f>
        <v/>
      </c>
    </row>
    <row r="226" spans="1:18" ht="14.25" customHeight="1" x14ac:dyDescent="0.2">
      <c r="A226" s="246"/>
      <c r="B226" s="246"/>
      <c r="C226" s="246"/>
      <c r="D226" s="246"/>
      <c r="E226" s="246"/>
      <c r="F226" s="222"/>
      <c r="G226" s="246"/>
      <c r="H226" s="282" t="s">
        <v>39</v>
      </c>
      <c r="I226" s="282"/>
      <c r="J226" s="222">
        <f>TRUNC(SUMIF(L:L,$L226,M:M)*(1+$J$9),2)</f>
        <v>24.46</v>
      </c>
      <c r="L226" s="149">
        <f t="shared" si="35"/>
        <v>21</v>
      </c>
      <c r="M226" s="156" t="str">
        <f t="shared" si="36"/>
        <v/>
      </c>
      <c r="N226" s="157" t="str">
        <f t="shared" si="37"/>
        <v/>
      </c>
      <c r="O226" s="157" t="str">
        <f t="shared" si="32"/>
        <v/>
      </c>
      <c r="P226" s="158" t="str">
        <f t="shared" si="38"/>
        <v/>
      </c>
      <c r="Q226" s="157" t="str">
        <f>IF(P226&lt;&gt;"",SUMIF(L226:L306,L226,N226:N306),"")</f>
        <v/>
      </c>
      <c r="R226" s="157" t="str">
        <f>IF(P226&lt;&gt;"",SUMIF(L226:L306,L226,O226:O306),"")</f>
        <v/>
      </c>
    </row>
    <row r="227" spans="1:18" ht="15" thickBot="1" x14ac:dyDescent="0.25">
      <c r="A227" s="219"/>
      <c r="B227" s="219"/>
      <c r="C227" s="219"/>
      <c r="D227" s="219"/>
      <c r="E227" s="219"/>
      <c r="F227" s="219"/>
      <c r="G227" s="219" t="s">
        <v>40</v>
      </c>
      <c r="H227" s="221">
        <v>8</v>
      </c>
      <c r="I227" s="219" t="s">
        <v>41</v>
      </c>
      <c r="J227" s="220">
        <f>TRUNC(J226*H227,2)</f>
        <v>195.68</v>
      </c>
      <c r="L227" s="149">
        <f t="shared" si="35"/>
        <v>21</v>
      </c>
      <c r="M227" s="156" t="str">
        <f t="shared" si="36"/>
        <v/>
      </c>
      <c r="N227" s="157" t="str">
        <f t="shared" si="37"/>
        <v/>
      </c>
      <c r="O227" s="157" t="str">
        <f t="shared" si="32"/>
        <v/>
      </c>
      <c r="P227" s="158" t="str">
        <f t="shared" si="38"/>
        <v/>
      </c>
      <c r="Q227" s="157" t="str">
        <f>IF(P227&lt;&gt;"",SUMIF(L227:L306,L227,N227:N306),"")</f>
        <v/>
      </c>
      <c r="R227" s="157" t="str">
        <f>IF(P227&lt;&gt;"",SUMIF(L227:L306,L227,O227:O306),"")</f>
        <v/>
      </c>
    </row>
    <row r="228" spans="1:18" ht="38.25" customHeight="1" thickTop="1" x14ac:dyDescent="0.2">
      <c r="A228" s="210"/>
      <c r="B228" s="210"/>
      <c r="C228" s="210"/>
      <c r="D228" s="210"/>
      <c r="E228" s="210"/>
      <c r="F228" s="210"/>
      <c r="G228" s="210"/>
      <c r="H228" s="210"/>
      <c r="I228" s="210"/>
      <c r="J228" s="210"/>
      <c r="L228" s="149">
        <f t="shared" si="35"/>
        <v>22</v>
      </c>
      <c r="M228" s="156" t="str">
        <f t="shared" si="36"/>
        <v/>
      </c>
      <c r="N228" s="157" t="str">
        <f t="shared" si="37"/>
        <v/>
      </c>
      <c r="O228" s="157" t="str">
        <f t="shared" si="32"/>
        <v/>
      </c>
      <c r="P228" s="158" t="str">
        <f t="shared" si="38"/>
        <v/>
      </c>
      <c r="Q228" s="157" t="str">
        <f>IF(P228&lt;&gt;"",SUMIF(L228:L306,L228,N228:N306),"")</f>
        <v/>
      </c>
      <c r="R228" s="157" t="str">
        <f>IF(P228&lt;&gt;"",SUMIF(L228:L306,L228,O228:O306),"")</f>
        <v/>
      </c>
    </row>
    <row r="229" spans="1:18" ht="14.25" customHeight="1" x14ac:dyDescent="0.2">
      <c r="A229" s="245" t="s">
        <v>491</v>
      </c>
      <c r="B229" s="203" t="s">
        <v>1</v>
      </c>
      <c r="C229" s="245" t="s">
        <v>2</v>
      </c>
      <c r="D229" s="245" t="s">
        <v>3</v>
      </c>
      <c r="E229" s="284" t="s">
        <v>17</v>
      </c>
      <c r="F229" s="284"/>
      <c r="G229" s="202" t="s">
        <v>4</v>
      </c>
      <c r="H229" s="203" t="s">
        <v>5</v>
      </c>
      <c r="I229" s="203" t="s">
        <v>6</v>
      </c>
      <c r="J229" s="203" t="s">
        <v>7</v>
      </c>
      <c r="L229" s="149">
        <f t="shared" si="35"/>
        <v>22</v>
      </c>
      <c r="M229" s="156" t="str">
        <f t="shared" si="36"/>
        <v/>
      </c>
      <c r="N229" s="157" t="str">
        <f t="shared" si="37"/>
        <v/>
      </c>
      <c r="O229" s="157" t="str">
        <f t="shared" ref="O229:O270" si="39">IF(N229&lt;&gt;"","",M229)</f>
        <v/>
      </c>
      <c r="P229" s="158" t="str">
        <f t="shared" si="38"/>
        <v/>
      </c>
      <c r="Q229" s="157" t="str">
        <f>IF(P229&lt;&gt;"",SUMIF(L229:L306,L229,N229:N306),"")</f>
        <v/>
      </c>
      <c r="R229" s="157" t="str">
        <f>IF(P229&lt;&gt;"",SUMIF(L229:L306,L229,O229:O306),"")</f>
        <v/>
      </c>
    </row>
    <row r="230" spans="1:18" ht="25.5" customHeight="1" x14ac:dyDescent="0.2">
      <c r="A230" s="247" t="s">
        <v>18</v>
      </c>
      <c r="B230" s="207" t="s">
        <v>492</v>
      </c>
      <c r="C230" s="247" t="s">
        <v>8</v>
      </c>
      <c r="D230" s="247" t="s">
        <v>493</v>
      </c>
      <c r="E230" s="285" t="s">
        <v>268</v>
      </c>
      <c r="F230" s="285"/>
      <c r="G230" s="206" t="s">
        <v>14</v>
      </c>
      <c r="H230" s="209">
        <v>1</v>
      </c>
      <c r="I230" s="208">
        <f>SUMIF(L:L,$L230,M:M)</f>
        <v>16.59</v>
      </c>
      <c r="J230" s="208">
        <f>TRUNC(H230*I230,2)</f>
        <v>16.59</v>
      </c>
      <c r="L230" s="149">
        <f t="shared" si="35"/>
        <v>22</v>
      </c>
      <c r="M230" s="156" t="str">
        <f t="shared" si="36"/>
        <v/>
      </c>
      <c r="N230" s="157" t="str">
        <f t="shared" si="37"/>
        <v/>
      </c>
      <c r="O230" s="157" t="str">
        <f t="shared" si="39"/>
        <v/>
      </c>
      <c r="P230" s="158" t="str">
        <f t="shared" si="38"/>
        <v xml:space="preserve"> 04.03.05 </v>
      </c>
      <c r="Q230" s="157">
        <f>IF(P230&lt;&gt;"",SUMIF(L230:L306,L230,N230:N306),"")</f>
        <v>2.3200000000000003</v>
      </c>
      <c r="R230" s="157">
        <f>IF(P230&lt;&gt;"",SUMIF(L230:L306,L230,O230:O306),"")</f>
        <v>14.27</v>
      </c>
    </row>
    <row r="231" spans="1:18" ht="25.5" x14ac:dyDescent="0.2">
      <c r="A231" s="244" t="s">
        <v>20</v>
      </c>
      <c r="B231" s="212" t="s">
        <v>264</v>
      </c>
      <c r="C231" s="244" t="s">
        <v>8</v>
      </c>
      <c r="D231" s="244" t="s">
        <v>265</v>
      </c>
      <c r="E231" s="283" t="s">
        <v>26</v>
      </c>
      <c r="F231" s="283"/>
      <c r="G231" s="211" t="s">
        <v>27</v>
      </c>
      <c r="H231" s="214">
        <v>6.4000000000000001E-2</v>
      </c>
      <c r="I231" s="213">
        <f>SUMIFS('ANALÍTICA AUXILIARES'!J:J,'ANALÍTICA AUXILIARES'!A:A,"Composição",'ANALÍTICA AUXILIARES'!B:B,$B231)</f>
        <v>15.91</v>
      </c>
      <c r="J231" s="213">
        <f>TRUNC(H231*I231,2)</f>
        <v>1.01</v>
      </c>
      <c r="L231" s="149">
        <f t="shared" si="35"/>
        <v>22</v>
      </c>
      <c r="M231" s="156">
        <f t="shared" si="36"/>
        <v>1.01</v>
      </c>
      <c r="N231" s="157">
        <f t="shared" si="37"/>
        <v>1.01</v>
      </c>
      <c r="O231" s="157" t="str">
        <f t="shared" si="39"/>
        <v/>
      </c>
      <c r="P231" s="158" t="str">
        <f t="shared" si="38"/>
        <v/>
      </c>
      <c r="Q231" s="157" t="str">
        <f>IF(P231&lt;&gt;"",SUMIF(L231:L306,L231,N231:N306),"")</f>
        <v/>
      </c>
      <c r="R231" s="157" t="str">
        <f>IF(P231&lt;&gt;"",SUMIF(L231:L306,L231,O231:O306),"")</f>
        <v/>
      </c>
    </row>
    <row r="232" spans="1:18" ht="25.5" x14ac:dyDescent="0.2">
      <c r="A232" s="244" t="s">
        <v>20</v>
      </c>
      <c r="B232" s="212" t="s">
        <v>269</v>
      </c>
      <c r="C232" s="244" t="s">
        <v>8</v>
      </c>
      <c r="D232" s="244" t="s">
        <v>270</v>
      </c>
      <c r="E232" s="283" t="s">
        <v>26</v>
      </c>
      <c r="F232" s="283"/>
      <c r="G232" s="211" t="s">
        <v>27</v>
      </c>
      <c r="H232" s="214">
        <v>6.4000000000000001E-2</v>
      </c>
      <c r="I232" s="213">
        <f>SUMIFS('ANALÍTICA AUXILIARES'!J:J,'ANALÍTICA AUXILIARES'!A:A,"Composição",'ANALÍTICA AUXILIARES'!B:B,$B232)</f>
        <v>20.51</v>
      </c>
      <c r="J232" s="213">
        <f>TRUNC(H232*I232,2)</f>
        <v>1.31</v>
      </c>
      <c r="L232" s="149">
        <f t="shared" si="35"/>
        <v>22</v>
      </c>
      <c r="M232" s="156">
        <f t="shared" si="36"/>
        <v>1.31</v>
      </c>
      <c r="N232" s="157">
        <f t="shared" si="37"/>
        <v>1.31</v>
      </c>
      <c r="O232" s="157" t="str">
        <f t="shared" si="39"/>
        <v/>
      </c>
      <c r="P232" s="158" t="str">
        <f t="shared" si="38"/>
        <v/>
      </c>
      <c r="Q232" s="157" t="str">
        <f>IF(P232&lt;&gt;"",SUMIF(L232:L306,L232,N232:N306),"")</f>
        <v/>
      </c>
      <c r="R232" s="157" t="str">
        <f>IF(P232&lt;&gt;"",SUMIF(L232:L306,L232,O232:O306),"")</f>
        <v/>
      </c>
    </row>
    <row r="233" spans="1:18" ht="14.25" customHeight="1" x14ac:dyDescent="0.2">
      <c r="A233" s="243" t="s">
        <v>30</v>
      </c>
      <c r="B233" s="216" t="s">
        <v>314</v>
      </c>
      <c r="C233" s="243" t="str">
        <f>VLOOKUP(B233,INSUMOS!$A:$I,2,FALSE)</f>
        <v>SINAPI</v>
      </c>
      <c r="D233" s="243" t="str">
        <f>VLOOKUP(B233,INSUMOS!$A:$I,3,FALSE)</f>
        <v>CABO DE COBRE, FLEXIVEL, CLASSE 4 OU 5, ISOLACAO EM PVC/A, ANTICHAMA BWF-B, COBERTURA PVC-ST1, ANTICHAMA BWF-B, 1 CONDUTOR, 0,6/1 KV, SECAO NOMINAL 25 MM2</v>
      </c>
      <c r="E233" s="281" t="str">
        <f>VLOOKUP(B233,INSUMOS!$A:$I,4,FALSE)</f>
        <v>Material</v>
      </c>
      <c r="F233" s="281"/>
      <c r="G233" s="215" t="str">
        <f>VLOOKUP(B233,INSUMOS!$A:$I,5,FALSE)</f>
        <v>M</v>
      </c>
      <c r="H233" s="218">
        <v>1.0149999999999999</v>
      </c>
      <c r="I233" s="217">
        <f>VLOOKUP(B233,INSUMOS!$A:$I,8,FALSE)</f>
        <v>14.04</v>
      </c>
      <c r="J233" s="217">
        <f>TRUNC(H233*I233,2)</f>
        <v>14.25</v>
      </c>
      <c r="L233" s="149">
        <f t="shared" si="35"/>
        <v>22</v>
      </c>
      <c r="M233" s="156">
        <f t="shared" si="36"/>
        <v>14.25</v>
      </c>
      <c r="N233" s="157" t="str">
        <f t="shared" si="37"/>
        <v/>
      </c>
      <c r="O233" s="157">
        <f t="shared" si="39"/>
        <v>14.25</v>
      </c>
      <c r="P233" s="158" t="str">
        <f t="shared" si="38"/>
        <v/>
      </c>
      <c r="Q233" s="157" t="str">
        <f>IF(P233&lt;&gt;"",SUMIF(L233:L306,L233,N233:N306),"")</f>
        <v/>
      </c>
      <c r="R233" s="157" t="str">
        <f>IF(P233&lt;&gt;"",SUMIF(L233:L306,L233,O233:O306),"")</f>
        <v/>
      </c>
    </row>
    <row r="234" spans="1:18" ht="25.5" customHeight="1" x14ac:dyDescent="0.2">
      <c r="A234" s="243" t="s">
        <v>30</v>
      </c>
      <c r="B234" s="216" t="s">
        <v>234</v>
      </c>
      <c r="C234" s="243" t="str">
        <f>VLOOKUP(B234,INSUMOS!$A:$I,2,FALSE)</f>
        <v>SINAPI</v>
      </c>
      <c r="D234" s="243" t="str">
        <f>VLOOKUP(B234,INSUMOS!$A:$I,3,FALSE)</f>
        <v>FITA ISOLANTE ADESIVA ANTICHAMA, USO ATE 750 V, EM ROLO DE 19 MM X 5 M</v>
      </c>
      <c r="E234" s="281" t="str">
        <f>VLOOKUP(B234,INSUMOS!$A:$I,4,FALSE)</f>
        <v>Material</v>
      </c>
      <c r="F234" s="281"/>
      <c r="G234" s="215" t="str">
        <f>VLOOKUP(B234,INSUMOS!$A:$I,5,FALSE)</f>
        <v>UN</v>
      </c>
      <c r="H234" s="218">
        <v>8.9999999999999993E-3</v>
      </c>
      <c r="I234" s="217">
        <f>VLOOKUP(B234,INSUMOS!$A:$I,8,FALSE)</f>
        <v>2.79</v>
      </c>
      <c r="J234" s="217">
        <f>TRUNC(H234*I234,2)</f>
        <v>0.02</v>
      </c>
      <c r="L234" s="149">
        <f t="shared" si="35"/>
        <v>22</v>
      </c>
      <c r="M234" s="156">
        <f t="shared" si="36"/>
        <v>0.02</v>
      </c>
      <c r="N234" s="157" t="str">
        <f t="shared" si="37"/>
        <v/>
      </c>
      <c r="O234" s="157">
        <f t="shared" si="39"/>
        <v>0.02</v>
      </c>
      <c r="P234" s="158" t="str">
        <f t="shared" si="38"/>
        <v/>
      </c>
      <c r="Q234" s="157" t="str">
        <f>IF(P234&lt;&gt;"",SUMIF(L234:L306,L234,N234:N306),"")</f>
        <v/>
      </c>
      <c r="R234" s="157" t="str">
        <f>IF(P234&lt;&gt;"",SUMIF(L234:L306,L234,O234:O306),"")</f>
        <v/>
      </c>
    </row>
    <row r="235" spans="1:18" x14ac:dyDescent="0.2">
      <c r="A235" s="246"/>
      <c r="B235" s="246"/>
      <c r="C235" s="246"/>
      <c r="D235" s="246"/>
      <c r="E235" s="246"/>
      <c r="F235" s="222"/>
      <c r="G235" s="246"/>
      <c r="H235" s="222"/>
      <c r="I235" s="246"/>
      <c r="J235" s="222"/>
      <c r="L235" s="149">
        <f t="shared" si="35"/>
        <v>22</v>
      </c>
      <c r="M235" s="156" t="str">
        <f t="shared" si="36"/>
        <v/>
      </c>
      <c r="N235" s="157" t="str">
        <f t="shared" si="37"/>
        <v/>
      </c>
      <c r="O235" s="157" t="str">
        <f t="shared" si="39"/>
        <v/>
      </c>
      <c r="P235" s="158" t="str">
        <f t="shared" si="38"/>
        <v/>
      </c>
      <c r="Q235" s="157" t="str">
        <f>IF(P235&lt;&gt;"",SUMIF(L235:L306,L235,N235:N306),"")</f>
        <v/>
      </c>
      <c r="R235" s="157" t="str">
        <f>IF(P235&lt;&gt;"",SUMIF(L235:L306,L235,O235:O306),"")</f>
        <v/>
      </c>
    </row>
    <row r="236" spans="1:18" ht="14.25" customHeight="1" x14ac:dyDescent="0.2">
      <c r="A236" s="246"/>
      <c r="B236" s="246"/>
      <c r="C236" s="246"/>
      <c r="D236" s="246"/>
      <c r="E236" s="246"/>
      <c r="F236" s="222"/>
      <c r="G236" s="246"/>
      <c r="H236" s="282" t="s">
        <v>39</v>
      </c>
      <c r="I236" s="282"/>
      <c r="J236" s="222">
        <f>TRUNC(SUMIF(L:L,$L236,M:M)*(1+$J$9),2)</f>
        <v>20.27</v>
      </c>
      <c r="L236" s="149">
        <f t="shared" si="35"/>
        <v>22</v>
      </c>
      <c r="M236" s="156" t="str">
        <f t="shared" si="36"/>
        <v/>
      </c>
      <c r="N236" s="157" t="str">
        <f t="shared" si="37"/>
        <v/>
      </c>
      <c r="O236" s="157" t="str">
        <f t="shared" si="39"/>
        <v/>
      </c>
      <c r="P236" s="158" t="str">
        <f t="shared" si="38"/>
        <v/>
      </c>
      <c r="Q236" s="157" t="str">
        <f>IF(P236&lt;&gt;"",SUMIF(L236:L306,L236,N236:N306),"")</f>
        <v/>
      </c>
      <c r="R236" s="157" t="str">
        <f>IF(P236&lt;&gt;"",SUMIF(L236:L306,L236,O236:O306),"")</f>
        <v/>
      </c>
    </row>
    <row r="237" spans="1:18" ht="25.5" customHeight="1" thickBot="1" x14ac:dyDescent="0.25">
      <c r="A237" s="219"/>
      <c r="B237" s="219"/>
      <c r="C237" s="219"/>
      <c r="D237" s="219"/>
      <c r="E237" s="219"/>
      <c r="F237" s="219"/>
      <c r="G237" s="219" t="s">
        <v>40</v>
      </c>
      <c r="H237" s="221">
        <v>100</v>
      </c>
      <c r="I237" s="219" t="s">
        <v>41</v>
      </c>
      <c r="J237" s="220">
        <f>TRUNC(J236*H237,2)</f>
        <v>2027</v>
      </c>
      <c r="L237" s="149">
        <f t="shared" si="35"/>
        <v>22</v>
      </c>
      <c r="M237" s="156" t="str">
        <f t="shared" si="36"/>
        <v/>
      </c>
      <c r="N237" s="157" t="str">
        <f t="shared" si="37"/>
        <v/>
      </c>
      <c r="O237" s="157" t="str">
        <f t="shared" si="39"/>
        <v/>
      </c>
      <c r="P237" s="158" t="str">
        <f t="shared" si="38"/>
        <v/>
      </c>
      <c r="Q237" s="157" t="str">
        <f>IF(P237&lt;&gt;"",SUMIF(L237:L306,L237,N237:N306),"")</f>
        <v/>
      </c>
      <c r="R237" s="157" t="str">
        <f>IF(P237&lt;&gt;"",SUMIF(L237:L306,L237,O237:O306),"")</f>
        <v/>
      </c>
    </row>
    <row r="238" spans="1:18" ht="15" thickTop="1" x14ac:dyDescent="0.2">
      <c r="A238" s="210"/>
      <c r="B238" s="210"/>
      <c r="C238" s="210"/>
      <c r="D238" s="210"/>
      <c r="E238" s="210"/>
      <c r="F238" s="210"/>
      <c r="G238" s="210"/>
      <c r="H238" s="210"/>
      <c r="I238" s="210"/>
      <c r="J238" s="210"/>
      <c r="L238" s="149">
        <f t="shared" si="35"/>
        <v>23</v>
      </c>
      <c r="M238" s="156" t="str">
        <f t="shared" si="36"/>
        <v/>
      </c>
      <c r="N238" s="157" t="str">
        <f t="shared" si="37"/>
        <v/>
      </c>
      <c r="O238" s="157" t="str">
        <f t="shared" si="39"/>
        <v/>
      </c>
      <c r="P238" s="158" t="str">
        <f t="shared" si="38"/>
        <v/>
      </c>
      <c r="Q238" s="157" t="str">
        <f>IF(P238&lt;&gt;"",SUMIF(L238:L306,L238,N238:N306),"")</f>
        <v/>
      </c>
      <c r="R238" s="157" t="str">
        <f>IF(P238&lt;&gt;"",SUMIF(L238:L306,L238,O238:O306),"")</f>
        <v/>
      </c>
    </row>
    <row r="239" spans="1:18" ht="15" x14ac:dyDescent="0.2">
      <c r="A239" s="245" t="s">
        <v>494</v>
      </c>
      <c r="B239" s="203" t="s">
        <v>1</v>
      </c>
      <c r="C239" s="245" t="s">
        <v>2</v>
      </c>
      <c r="D239" s="245" t="s">
        <v>3</v>
      </c>
      <c r="E239" s="284" t="s">
        <v>17</v>
      </c>
      <c r="F239" s="284"/>
      <c r="G239" s="202" t="s">
        <v>4</v>
      </c>
      <c r="H239" s="203" t="s">
        <v>5</v>
      </c>
      <c r="I239" s="203" t="s">
        <v>6</v>
      </c>
      <c r="J239" s="203" t="s">
        <v>7</v>
      </c>
      <c r="L239" s="149">
        <f t="shared" si="35"/>
        <v>23</v>
      </c>
      <c r="M239" s="156" t="str">
        <f t="shared" si="36"/>
        <v/>
      </c>
      <c r="N239" s="157" t="str">
        <f t="shared" si="37"/>
        <v/>
      </c>
      <c r="O239" s="157" t="str">
        <f t="shared" si="39"/>
        <v/>
      </c>
      <c r="P239" s="158" t="str">
        <f t="shared" si="38"/>
        <v/>
      </c>
      <c r="Q239" s="157" t="str">
        <f>IF(P239&lt;&gt;"",SUMIF(L239:L306,L239,N239:N306),"")</f>
        <v/>
      </c>
      <c r="R239" s="157" t="str">
        <f>IF(P239&lt;&gt;"",SUMIF(L239:L306,L239,O239:O306),"")</f>
        <v/>
      </c>
    </row>
    <row r="240" spans="1:18" ht="14.25" customHeight="1" x14ac:dyDescent="0.2">
      <c r="A240" s="247" t="s">
        <v>18</v>
      </c>
      <c r="B240" s="207" t="s">
        <v>470</v>
      </c>
      <c r="C240" s="247" t="s">
        <v>11</v>
      </c>
      <c r="D240" s="247" t="s">
        <v>471</v>
      </c>
      <c r="E240" s="285" t="s">
        <v>268</v>
      </c>
      <c r="F240" s="285"/>
      <c r="G240" s="206" t="s">
        <v>291</v>
      </c>
      <c r="H240" s="209">
        <v>1</v>
      </c>
      <c r="I240" s="208">
        <f>SUMIF(L:L,$L240,M:M)</f>
        <v>8.86</v>
      </c>
      <c r="J240" s="208">
        <f>TRUNC(H240*I240,2)</f>
        <v>8.86</v>
      </c>
      <c r="L240" s="149">
        <f t="shared" si="35"/>
        <v>23</v>
      </c>
      <c r="M240" s="156" t="str">
        <f t="shared" si="36"/>
        <v/>
      </c>
      <c r="N240" s="157" t="str">
        <f t="shared" si="37"/>
        <v/>
      </c>
      <c r="O240" s="157" t="str">
        <f t="shared" si="39"/>
        <v/>
      </c>
      <c r="P240" s="158" t="str">
        <f t="shared" si="38"/>
        <v xml:space="preserve"> 04.03.06 </v>
      </c>
      <c r="Q240" s="157">
        <f>IF(P240&lt;&gt;"",SUMIF(L240:L306,L240,N240:N306),"")</f>
        <v>7.2799999999999994</v>
      </c>
      <c r="R240" s="157">
        <f>IF(P240&lt;&gt;"",SUMIF(L240:L306,L240,O240:O306),"")</f>
        <v>1.58</v>
      </c>
    </row>
    <row r="241" spans="1:18" ht="25.5" x14ac:dyDescent="0.2">
      <c r="A241" s="244" t="s">
        <v>20</v>
      </c>
      <c r="B241" s="212" t="s">
        <v>269</v>
      </c>
      <c r="C241" s="244" t="s">
        <v>8</v>
      </c>
      <c r="D241" s="244" t="s">
        <v>270</v>
      </c>
      <c r="E241" s="283" t="s">
        <v>26</v>
      </c>
      <c r="F241" s="283"/>
      <c r="G241" s="211" t="s">
        <v>27</v>
      </c>
      <c r="H241" s="214">
        <v>0.2</v>
      </c>
      <c r="I241" s="213">
        <f>SUMIFS('ANALÍTICA AUXILIARES'!J:J,'ANALÍTICA AUXILIARES'!A:A,"Composição",'ANALÍTICA AUXILIARES'!B:B,$B241)</f>
        <v>20.51</v>
      </c>
      <c r="J241" s="213">
        <f>TRUNC(H241*I241,2)</f>
        <v>4.0999999999999996</v>
      </c>
      <c r="L241" s="149">
        <f t="shared" si="35"/>
        <v>23</v>
      </c>
      <c r="M241" s="156">
        <f t="shared" si="36"/>
        <v>4.0999999999999996</v>
      </c>
      <c r="N241" s="157">
        <f t="shared" si="37"/>
        <v>4.0999999999999996</v>
      </c>
      <c r="O241" s="157" t="str">
        <f t="shared" si="39"/>
        <v/>
      </c>
      <c r="P241" s="158" t="str">
        <f t="shared" si="38"/>
        <v/>
      </c>
      <c r="Q241" s="157" t="str">
        <f>IF(P241&lt;&gt;"",SUMIF(L241:L306,L241,N241:N306),"")</f>
        <v/>
      </c>
      <c r="R241" s="157" t="str">
        <f>IF(P241&lt;&gt;"",SUMIF(L241:L306,L241,O241:O306),"")</f>
        <v/>
      </c>
    </row>
    <row r="242" spans="1:18" ht="14.25" customHeight="1" x14ac:dyDescent="0.2">
      <c r="A242" s="244" t="s">
        <v>20</v>
      </c>
      <c r="B242" s="212" t="s">
        <v>264</v>
      </c>
      <c r="C242" s="244" t="s">
        <v>8</v>
      </c>
      <c r="D242" s="244" t="s">
        <v>265</v>
      </c>
      <c r="E242" s="283" t="s">
        <v>26</v>
      </c>
      <c r="F242" s="283"/>
      <c r="G242" s="211" t="s">
        <v>27</v>
      </c>
      <c r="H242" s="214">
        <v>0.2</v>
      </c>
      <c r="I242" s="213">
        <f>SUMIFS('ANALÍTICA AUXILIARES'!J:J,'ANALÍTICA AUXILIARES'!A:A,"Composição",'ANALÍTICA AUXILIARES'!B:B,$B242)</f>
        <v>15.91</v>
      </c>
      <c r="J242" s="213">
        <f>TRUNC(H242*I242,2)</f>
        <v>3.18</v>
      </c>
      <c r="L242" s="149">
        <f t="shared" si="35"/>
        <v>23</v>
      </c>
      <c r="M242" s="156">
        <f t="shared" si="36"/>
        <v>3.18</v>
      </c>
      <c r="N242" s="157">
        <f t="shared" si="37"/>
        <v>3.18</v>
      </c>
      <c r="O242" s="157" t="str">
        <f t="shared" si="39"/>
        <v/>
      </c>
      <c r="P242" s="158" t="str">
        <f t="shared" si="38"/>
        <v/>
      </c>
      <c r="Q242" s="157" t="str">
        <f>IF(P242&lt;&gt;"",SUMIF(L242:L306,L242,N242:N306),"")</f>
        <v/>
      </c>
      <c r="R242" s="157" t="str">
        <f>IF(P242&lt;&gt;"",SUMIF(L242:L306,L242,O242:O306),"")</f>
        <v/>
      </c>
    </row>
    <row r="243" spans="1:18" ht="25.5" x14ac:dyDescent="0.2">
      <c r="A243" s="243" t="s">
        <v>30</v>
      </c>
      <c r="B243" s="216" t="s">
        <v>383</v>
      </c>
      <c r="C243" s="243" t="str">
        <f>VLOOKUP(B243,INSUMOS!$A:$I,2,FALSE)</f>
        <v>SINAPI</v>
      </c>
      <c r="D243" s="243" t="str">
        <f>VLOOKUP(B243,INSUMOS!$A:$I,3,FALSE)</f>
        <v>TERMINAL A COMPRESSAO EM COBRE ESTANHADO PARA CABO 25 MM2, 1 FURO E 1 COMPRESSAO, PARA PARAFUSO DE FIXACAO M8</v>
      </c>
      <c r="E243" s="281" t="str">
        <f>VLOOKUP(B243,INSUMOS!$A:$I,4,FALSE)</f>
        <v>Material</v>
      </c>
      <c r="F243" s="281"/>
      <c r="G243" s="215" t="str">
        <f>VLOOKUP(B243,INSUMOS!$A:$I,5,FALSE)</f>
        <v>UN</v>
      </c>
      <c r="H243" s="218">
        <v>1</v>
      </c>
      <c r="I243" s="217">
        <f>VLOOKUP(B243,INSUMOS!$A:$I,8,FALSE)</f>
        <v>1.58</v>
      </c>
      <c r="J243" s="217">
        <f>TRUNC(H243*I243,2)</f>
        <v>1.58</v>
      </c>
      <c r="L243" s="149">
        <f t="shared" si="35"/>
        <v>23</v>
      </c>
      <c r="M243" s="156">
        <f t="shared" si="36"/>
        <v>1.58</v>
      </c>
      <c r="N243" s="157" t="str">
        <f t="shared" si="37"/>
        <v/>
      </c>
      <c r="O243" s="157">
        <f t="shared" si="39"/>
        <v>1.58</v>
      </c>
      <c r="P243" s="158" t="str">
        <f t="shared" si="38"/>
        <v/>
      </c>
      <c r="Q243" s="157" t="str">
        <f>IF(P243&lt;&gt;"",SUMIF(L243:L306,L243,N243:N306),"")</f>
        <v/>
      </c>
      <c r="R243" s="157" t="str">
        <f>IF(P243&lt;&gt;"",SUMIF(L243:L306,L243,O243:O306),"")</f>
        <v/>
      </c>
    </row>
    <row r="244" spans="1:18" ht="25.5" customHeight="1" x14ac:dyDescent="0.2">
      <c r="A244" s="246"/>
      <c r="B244" s="246"/>
      <c r="C244" s="246"/>
      <c r="D244" s="246"/>
      <c r="E244" s="246"/>
      <c r="F244" s="222"/>
      <c r="G244" s="246"/>
      <c r="H244" s="222"/>
      <c r="I244" s="246"/>
      <c r="J244" s="222"/>
      <c r="L244" s="149">
        <f t="shared" si="35"/>
        <v>23</v>
      </c>
      <c r="M244" s="156" t="str">
        <f t="shared" si="36"/>
        <v/>
      </c>
      <c r="N244" s="157" t="str">
        <f t="shared" si="37"/>
        <v/>
      </c>
      <c r="O244" s="157" t="str">
        <f t="shared" si="39"/>
        <v/>
      </c>
      <c r="P244" s="158" t="str">
        <f t="shared" si="38"/>
        <v/>
      </c>
      <c r="Q244" s="157" t="str">
        <f>IF(P244&lt;&gt;"",SUMIF(L244:L306,L244,N244:N306),"")</f>
        <v/>
      </c>
      <c r="R244" s="157" t="str">
        <f>IF(P244&lt;&gt;"",SUMIF(L244:L306,L244,O244:O306),"")</f>
        <v/>
      </c>
    </row>
    <row r="245" spans="1:18" ht="14.25" customHeight="1" x14ac:dyDescent="0.2">
      <c r="A245" s="246"/>
      <c r="B245" s="246"/>
      <c r="C245" s="246"/>
      <c r="D245" s="246"/>
      <c r="E245" s="246"/>
      <c r="F245" s="222"/>
      <c r="G245" s="246"/>
      <c r="H245" s="282" t="s">
        <v>39</v>
      </c>
      <c r="I245" s="282"/>
      <c r="J245" s="222">
        <f>TRUNC(SUMIF(L:L,$L245,M:M)*(1+$J$9),2)</f>
        <v>10.82</v>
      </c>
      <c r="L245" s="149">
        <f t="shared" si="35"/>
        <v>23</v>
      </c>
      <c r="M245" s="156" t="str">
        <f t="shared" si="36"/>
        <v/>
      </c>
      <c r="N245" s="157" t="str">
        <f t="shared" si="37"/>
        <v/>
      </c>
      <c r="O245" s="157" t="str">
        <f t="shared" si="39"/>
        <v/>
      </c>
      <c r="P245" s="158" t="str">
        <f t="shared" si="38"/>
        <v/>
      </c>
      <c r="Q245" s="157" t="str">
        <f>IF(P245&lt;&gt;"",SUMIF(L245:L306,L245,N245:N306),"")</f>
        <v/>
      </c>
      <c r="R245" s="157" t="str">
        <f>IF(P245&lt;&gt;"",SUMIF(L245:L306,L245,O245:O306),"")</f>
        <v/>
      </c>
    </row>
    <row r="246" spans="1:18" ht="38.25" customHeight="1" thickBot="1" x14ac:dyDescent="0.25">
      <c r="A246" s="219"/>
      <c r="B246" s="219"/>
      <c r="C246" s="219"/>
      <c r="D246" s="219"/>
      <c r="E246" s="219"/>
      <c r="F246" s="219"/>
      <c r="G246" s="219" t="s">
        <v>40</v>
      </c>
      <c r="H246" s="221">
        <v>18</v>
      </c>
      <c r="I246" s="219" t="s">
        <v>41</v>
      </c>
      <c r="J246" s="220">
        <f>TRUNC(J245*H246,2)</f>
        <v>194.76</v>
      </c>
      <c r="L246" s="149">
        <f t="shared" si="35"/>
        <v>23</v>
      </c>
      <c r="M246" s="156" t="str">
        <f t="shared" si="36"/>
        <v/>
      </c>
      <c r="N246" s="157" t="str">
        <f t="shared" si="37"/>
        <v/>
      </c>
      <c r="O246" s="157" t="str">
        <f t="shared" si="39"/>
        <v/>
      </c>
      <c r="P246" s="158" t="str">
        <f t="shared" si="38"/>
        <v/>
      </c>
      <c r="Q246" s="157" t="str">
        <f>IF(P246&lt;&gt;"",SUMIF(L246:L306,L246,N246:N306),"")</f>
        <v/>
      </c>
      <c r="R246" s="157" t="str">
        <f>IF(P246&lt;&gt;"",SUMIF(L246:L306,L246,O246:O306),"")</f>
        <v/>
      </c>
    </row>
    <row r="247" spans="1:18" ht="38.25" customHeight="1" thickTop="1" x14ac:dyDescent="0.2">
      <c r="A247" s="210"/>
      <c r="B247" s="210"/>
      <c r="C247" s="210"/>
      <c r="D247" s="210"/>
      <c r="E247" s="210"/>
      <c r="F247" s="210"/>
      <c r="G247" s="210"/>
      <c r="H247" s="210"/>
      <c r="I247" s="210"/>
      <c r="J247" s="210"/>
      <c r="L247" s="149">
        <f t="shared" si="35"/>
        <v>24</v>
      </c>
      <c r="M247" s="156" t="str">
        <f t="shared" si="36"/>
        <v/>
      </c>
      <c r="N247" s="157" t="str">
        <f t="shared" si="37"/>
        <v/>
      </c>
      <c r="O247" s="157" t="str">
        <f t="shared" si="39"/>
        <v/>
      </c>
      <c r="P247" s="158" t="str">
        <f t="shared" si="38"/>
        <v/>
      </c>
      <c r="Q247" s="157" t="str">
        <f>IF(P247&lt;&gt;"",SUMIF(L247:L306,L247,N247:N306),"")</f>
        <v/>
      </c>
      <c r="R247" s="157" t="str">
        <f>IF(P247&lt;&gt;"",SUMIF(L247:L306,L247,O247:O306),"")</f>
        <v/>
      </c>
    </row>
    <row r="248" spans="1:18" ht="15" x14ac:dyDescent="0.2">
      <c r="A248" s="245" t="s">
        <v>495</v>
      </c>
      <c r="B248" s="203" t="s">
        <v>1</v>
      </c>
      <c r="C248" s="245" t="s">
        <v>2</v>
      </c>
      <c r="D248" s="245" t="s">
        <v>3</v>
      </c>
      <c r="E248" s="284" t="s">
        <v>17</v>
      </c>
      <c r="F248" s="284"/>
      <c r="G248" s="202" t="s">
        <v>4</v>
      </c>
      <c r="H248" s="203" t="s">
        <v>5</v>
      </c>
      <c r="I248" s="203" t="s">
        <v>6</v>
      </c>
      <c r="J248" s="203" t="s">
        <v>7</v>
      </c>
      <c r="L248" s="149">
        <f t="shared" si="35"/>
        <v>24</v>
      </c>
      <c r="M248" s="156" t="str">
        <f t="shared" si="36"/>
        <v/>
      </c>
      <c r="N248" s="157" t="str">
        <f t="shared" si="37"/>
        <v/>
      </c>
      <c r="O248" s="157" t="str">
        <f t="shared" si="39"/>
        <v/>
      </c>
      <c r="P248" s="158" t="str">
        <f t="shared" si="38"/>
        <v/>
      </c>
      <c r="Q248" s="157" t="str">
        <f>IF(P248&lt;&gt;"",SUMIF(L248:L306,L248,N248:N306),"")</f>
        <v/>
      </c>
      <c r="R248" s="157" t="str">
        <f>IF(P248&lt;&gt;"",SUMIF(L248:L306,L248,O248:O306),"")</f>
        <v/>
      </c>
    </row>
    <row r="249" spans="1:18" ht="25.5" customHeight="1" x14ac:dyDescent="0.2">
      <c r="A249" s="247" t="s">
        <v>18</v>
      </c>
      <c r="B249" s="207" t="s">
        <v>279</v>
      </c>
      <c r="C249" s="247" t="s">
        <v>8</v>
      </c>
      <c r="D249" s="247" t="s">
        <v>280</v>
      </c>
      <c r="E249" s="285" t="s">
        <v>268</v>
      </c>
      <c r="F249" s="285"/>
      <c r="G249" s="206" t="s">
        <v>14</v>
      </c>
      <c r="H249" s="209">
        <v>1</v>
      </c>
      <c r="I249" s="208">
        <f>SUMIF(L:L,$L249,M:M)</f>
        <v>9.9400000000000013</v>
      </c>
      <c r="J249" s="208">
        <f>TRUNC(H249*I249,2)</f>
        <v>9.94</v>
      </c>
      <c r="L249" s="149">
        <f t="shared" si="35"/>
        <v>24</v>
      </c>
      <c r="M249" s="156" t="str">
        <f t="shared" si="36"/>
        <v/>
      </c>
      <c r="N249" s="157" t="str">
        <f t="shared" si="37"/>
        <v/>
      </c>
      <c r="O249" s="157" t="str">
        <f t="shared" si="39"/>
        <v/>
      </c>
      <c r="P249" s="158" t="str">
        <f t="shared" si="38"/>
        <v xml:space="preserve"> 04.03.07 </v>
      </c>
      <c r="Q249" s="157">
        <f>IF(P249&lt;&gt;"",SUMIF(L249:L306,L249,N249:N306),"")</f>
        <v>0.46</v>
      </c>
      <c r="R249" s="157">
        <f>IF(P249&lt;&gt;"",SUMIF(L249:L306,L249,O249:O306),"")</f>
        <v>9.48</v>
      </c>
    </row>
    <row r="250" spans="1:18" ht="25.5" customHeight="1" x14ac:dyDescent="0.2">
      <c r="A250" s="244" t="s">
        <v>20</v>
      </c>
      <c r="B250" s="212" t="s">
        <v>264</v>
      </c>
      <c r="C250" s="244" t="s">
        <v>8</v>
      </c>
      <c r="D250" s="244" t="s">
        <v>265</v>
      </c>
      <c r="E250" s="283" t="s">
        <v>26</v>
      </c>
      <c r="F250" s="283"/>
      <c r="G250" s="211" t="s">
        <v>27</v>
      </c>
      <c r="H250" s="214">
        <v>1.2999999999999999E-2</v>
      </c>
      <c r="I250" s="213">
        <f>SUMIFS('ANALÍTICA AUXILIARES'!J:J,'ANALÍTICA AUXILIARES'!A:A,"Composição",'ANALÍTICA AUXILIARES'!B:B,$B250)</f>
        <v>15.91</v>
      </c>
      <c r="J250" s="213">
        <f>TRUNC(H250*I250,2)</f>
        <v>0.2</v>
      </c>
      <c r="L250" s="149">
        <f t="shared" si="35"/>
        <v>24</v>
      </c>
      <c r="M250" s="156">
        <f t="shared" si="36"/>
        <v>0.2</v>
      </c>
      <c r="N250" s="157">
        <f t="shared" si="37"/>
        <v>0.2</v>
      </c>
      <c r="O250" s="157" t="str">
        <f t="shared" si="39"/>
        <v/>
      </c>
      <c r="P250" s="158" t="str">
        <f t="shared" si="38"/>
        <v/>
      </c>
      <c r="Q250" s="157" t="str">
        <f>IF(P250&lt;&gt;"",SUMIF(L250:L306,L250,N250:N306),"")</f>
        <v/>
      </c>
      <c r="R250" s="157" t="str">
        <f>IF(P250&lt;&gt;"",SUMIF(L250:L306,L250,O250:O306),"")</f>
        <v/>
      </c>
    </row>
    <row r="251" spans="1:18" ht="25.5" x14ac:dyDescent="0.2">
      <c r="A251" s="244" t="s">
        <v>20</v>
      </c>
      <c r="B251" s="212" t="s">
        <v>269</v>
      </c>
      <c r="C251" s="244" t="s">
        <v>8</v>
      </c>
      <c r="D251" s="244" t="s">
        <v>270</v>
      </c>
      <c r="E251" s="283" t="s">
        <v>26</v>
      </c>
      <c r="F251" s="283"/>
      <c r="G251" s="211" t="s">
        <v>27</v>
      </c>
      <c r="H251" s="214">
        <v>1.2999999999999999E-2</v>
      </c>
      <c r="I251" s="213">
        <f>SUMIFS('ANALÍTICA AUXILIARES'!J:J,'ANALÍTICA AUXILIARES'!A:A,"Composição",'ANALÍTICA AUXILIARES'!B:B,$B251)</f>
        <v>20.51</v>
      </c>
      <c r="J251" s="213">
        <f>TRUNC(H251*I251,2)</f>
        <v>0.26</v>
      </c>
      <c r="L251" s="149">
        <f t="shared" si="35"/>
        <v>24</v>
      </c>
      <c r="M251" s="156">
        <f t="shared" si="36"/>
        <v>0.26</v>
      </c>
      <c r="N251" s="157">
        <f t="shared" si="37"/>
        <v>0.26</v>
      </c>
      <c r="O251" s="157" t="str">
        <f t="shared" si="39"/>
        <v/>
      </c>
      <c r="P251" s="158" t="str">
        <f t="shared" si="38"/>
        <v/>
      </c>
      <c r="Q251" s="157" t="str">
        <f>IF(P251&lt;&gt;"",SUMIF(L251:L306,L251,N251:N306),"")</f>
        <v/>
      </c>
      <c r="R251" s="157" t="str">
        <f>IF(P251&lt;&gt;"",SUMIF(L251:L306,L251,O251:O306),"")</f>
        <v/>
      </c>
    </row>
    <row r="252" spans="1:18" ht="14.25" customHeight="1" x14ac:dyDescent="0.2">
      <c r="A252" s="243" t="s">
        <v>30</v>
      </c>
      <c r="B252" s="216" t="s">
        <v>223</v>
      </c>
      <c r="C252" s="243" t="str">
        <f>VLOOKUP(B252,INSUMOS!$A:$I,2,FALSE)</f>
        <v>SINAPI</v>
      </c>
      <c r="D252" s="243" t="str">
        <f>VLOOKUP(B252,INSUMOS!$A:$I,3,FALSE)</f>
        <v>CABO DE COBRE, FLEXIVEL, CLASSE 4 OU 5, ISOLACAO EM PVC/A, ANTICHAMA BWF-B, COBERTURA PVC-ST1, ANTICHAMA BWF-B, 1 CONDUTOR, 0,6/1 KV, SECAO NOMINAL 16 MM2</v>
      </c>
      <c r="E252" s="281" t="str">
        <f>VLOOKUP(B252,INSUMOS!$A:$I,4,FALSE)</f>
        <v>Material</v>
      </c>
      <c r="F252" s="281"/>
      <c r="G252" s="215" t="str">
        <f>VLOOKUP(B252,INSUMOS!$A:$I,5,FALSE)</f>
        <v>M</v>
      </c>
      <c r="H252" s="218">
        <v>1.0269999999999999</v>
      </c>
      <c r="I252" s="217">
        <f>VLOOKUP(B252,INSUMOS!$A:$I,8,FALSE)</f>
        <v>9.2200000000000006</v>
      </c>
      <c r="J252" s="217">
        <f>TRUNC(H252*I252,2)</f>
        <v>9.4600000000000009</v>
      </c>
      <c r="L252" s="149">
        <f t="shared" si="35"/>
        <v>24</v>
      </c>
      <c r="M252" s="156">
        <f t="shared" si="36"/>
        <v>9.4600000000000009</v>
      </c>
      <c r="N252" s="157" t="str">
        <f t="shared" si="37"/>
        <v/>
      </c>
      <c r="O252" s="157">
        <f t="shared" si="39"/>
        <v>9.4600000000000009</v>
      </c>
      <c r="P252" s="158" t="str">
        <f t="shared" si="38"/>
        <v/>
      </c>
      <c r="Q252" s="157" t="str">
        <f>IF(P252&lt;&gt;"",SUMIF(L252:L306,L252,N252:N306),"")</f>
        <v/>
      </c>
      <c r="R252" s="157" t="str">
        <f>IF(P252&lt;&gt;"",SUMIF(L252:L306,L252,O252:O306),"")</f>
        <v/>
      </c>
    </row>
    <row r="253" spans="1:18" ht="25.5" x14ac:dyDescent="0.2">
      <c r="A253" s="243" t="s">
        <v>30</v>
      </c>
      <c r="B253" s="216" t="s">
        <v>234</v>
      </c>
      <c r="C253" s="243" t="str">
        <f>VLOOKUP(B253,INSUMOS!$A:$I,2,FALSE)</f>
        <v>SINAPI</v>
      </c>
      <c r="D253" s="243" t="str">
        <f>VLOOKUP(B253,INSUMOS!$A:$I,3,FALSE)</f>
        <v>FITA ISOLANTE ADESIVA ANTICHAMA, USO ATE 750 V, EM ROLO DE 19 MM X 5 M</v>
      </c>
      <c r="E253" s="281" t="str">
        <f>VLOOKUP(B253,INSUMOS!$A:$I,4,FALSE)</f>
        <v>Material</v>
      </c>
      <c r="F253" s="281"/>
      <c r="G253" s="215" t="str">
        <f>VLOOKUP(B253,INSUMOS!$A:$I,5,FALSE)</f>
        <v>UN</v>
      </c>
      <c r="H253" s="218">
        <v>0.01</v>
      </c>
      <c r="I253" s="217">
        <f>VLOOKUP(B253,INSUMOS!$A:$I,8,FALSE)</f>
        <v>2.79</v>
      </c>
      <c r="J253" s="217">
        <f>TRUNC(H253*I253,2)</f>
        <v>0.02</v>
      </c>
      <c r="L253" s="149">
        <f t="shared" si="35"/>
        <v>24</v>
      </c>
      <c r="M253" s="156">
        <f t="shared" si="36"/>
        <v>0.02</v>
      </c>
      <c r="N253" s="157" t="str">
        <f t="shared" si="37"/>
        <v/>
      </c>
      <c r="O253" s="157">
        <f t="shared" si="39"/>
        <v>0.02</v>
      </c>
      <c r="P253" s="158" t="str">
        <f t="shared" si="38"/>
        <v/>
      </c>
      <c r="Q253" s="157" t="str">
        <f>IF(P253&lt;&gt;"",SUMIF(L253:L306,L253,N253:N306),"")</f>
        <v/>
      </c>
      <c r="R253" s="157" t="str">
        <f>IF(P253&lt;&gt;"",SUMIF(L253:L306,L253,O253:O306),"")</f>
        <v/>
      </c>
    </row>
    <row r="254" spans="1:18" ht="25.5" customHeight="1" x14ac:dyDescent="0.2">
      <c r="A254" s="246"/>
      <c r="B254" s="246"/>
      <c r="C254" s="246"/>
      <c r="D254" s="246"/>
      <c r="E254" s="246"/>
      <c r="F254" s="222"/>
      <c r="G254" s="246"/>
      <c r="H254" s="222"/>
      <c r="I254" s="246"/>
      <c r="J254" s="222"/>
      <c r="L254" s="149">
        <f t="shared" si="35"/>
        <v>24</v>
      </c>
      <c r="M254" s="156" t="str">
        <f t="shared" si="36"/>
        <v/>
      </c>
      <c r="N254" s="157" t="str">
        <f t="shared" si="37"/>
        <v/>
      </c>
      <c r="O254" s="157" t="str">
        <f t="shared" si="39"/>
        <v/>
      </c>
      <c r="P254" s="158" t="str">
        <f t="shared" si="38"/>
        <v/>
      </c>
      <c r="Q254" s="157" t="str">
        <f>IF(P254&lt;&gt;"",SUMIF(L254:L306,L254,N254:N306),"")</f>
        <v/>
      </c>
      <c r="R254" s="157" t="str">
        <f>IF(P254&lt;&gt;"",SUMIF(L254:L306,L254,O254:O306),"")</f>
        <v/>
      </c>
    </row>
    <row r="255" spans="1:18" ht="14.25" customHeight="1" x14ac:dyDescent="0.2">
      <c r="A255" s="246"/>
      <c r="B255" s="246"/>
      <c r="C255" s="246"/>
      <c r="D255" s="246"/>
      <c r="E255" s="246"/>
      <c r="F255" s="222"/>
      <c r="G255" s="246"/>
      <c r="H255" s="282" t="s">
        <v>39</v>
      </c>
      <c r="I255" s="282"/>
      <c r="J255" s="222">
        <f>TRUNC(SUMIF(L:L,$L255,M:M)*(1+$J$9),2)</f>
        <v>12.14</v>
      </c>
      <c r="L255" s="149">
        <f t="shared" si="35"/>
        <v>24</v>
      </c>
      <c r="M255" s="156" t="str">
        <f t="shared" si="36"/>
        <v/>
      </c>
      <c r="N255" s="157" t="str">
        <f t="shared" si="37"/>
        <v/>
      </c>
      <c r="O255" s="157" t="str">
        <f t="shared" si="39"/>
        <v/>
      </c>
      <c r="P255" s="158" t="str">
        <f t="shared" si="38"/>
        <v/>
      </c>
      <c r="Q255" s="157" t="str">
        <f>IF(P255&lt;&gt;"",SUMIF(L255:L306,L255,N255:N306),"")</f>
        <v/>
      </c>
      <c r="R255" s="157" t="str">
        <f>IF(P255&lt;&gt;"",SUMIF(L255:L306,L255,O255:O306),"")</f>
        <v/>
      </c>
    </row>
    <row r="256" spans="1:18" ht="38.25" customHeight="1" thickBot="1" x14ac:dyDescent="0.25">
      <c r="A256" s="219"/>
      <c r="B256" s="219"/>
      <c r="C256" s="219"/>
      <c r="D256" s="219"/>
      <c r="E256" s="219"/>
      <c r="F256" s="219"/>
      <c r="G256" s="219" t="s">
        <v>40</v>
      </c>
      <c r="H256" s="221">
        <v>24</v>
      </c>
      <c r="I256" s="219" t="s">
        <v>41</v>
      </c>
      <c r="J256" s="220">
        <f>TRUNC(J255*H256,2)</f>
        <v>291.36</v>
      </c>
      <c r="L256" s="149">
        <f t="shared" si="35"/>
        <v>24</v>
      </c>
      <c r="M256" s="156" t="str">
        <f t="shared" si="36"/>
        <v/>
      </c>
      <c r="N256" s="157" t="str">
        <f t="shared" si="37"/>
        <v/>
      </c>
      <c r="O256" s="157" t="str">
        <f t="shared" si="39"/>
        <v/>
      </c>
      <c r="P256" s="158" t="str">
        <f t="shared" si="38"/>
        <v/>
      </c>
      <c r="Q256" s="157" t="str">
        <f>IF(P256&lt;&gt;"",SUMIF(L256:L306,L256,N256:N306),"")</f>
        <v/>
      </c>
      <c r="R256" s="157" t="str">
        <f>IF(P256&lt;&gt;"",SUMIF(L256:L306,L256,O256:O306),"")</f>
        <v/>
      </c>
    </row>
    <row r="257" spans="1:18" ht="15" thickTop="1" x14ac:dyDescent="0.2">
      <c r="A257" s="210"/>
      <c r="B257" s="210"/>
      <c r="C257" s="210"/>
      <c r="D257" s="210"/>
      <c r="E257" s="210"/>
      <c r="F257" s="210"/>
      <c r="G257" s="210"/>
      <c r="H257" s="210"/>
      <c r="I257" s="210"/>
      <c r="J257" s="210"/>
      <c r="L257" s="149">
        <f t="shared" si="35"/>
        <v>25</v>
      </c>
      <c r="M257" s="156" t="str">
        <f t="shared" si="36"/>
        <v/>
      </c>
      <c r="N257" s="157" t="str">
        <f t="shared" si="37"/>
        <v/>
      </c>
      <c r="O257" s="157" t="str">
        <f t="shared" si="39"/>
        <v/>
      </c>
      <c r="P257" s="158" t="str">
        <f t="shared" si="38"/>
        <v/>
      </c>
      <c r="Q257" s="157" t="str">
        <f>IF(P257&lt;&gt;"",SUMIF(L257:L306,L257,N257:N306),"")</f>
        <v/>
      </c>
      <c r="R257" s="157" t="str">
        <f>IF(P257&lt;&gt;"",SUMIF(L257:L306,L257,O257:O306),"")</f>
        <v/>
      </c>
    </row>
    <row r="258" spans="1:18" ht="15" x14ac:dyDescent="0.2">
      <c r="A258" s="245" t="s">
        <v>496</v>
      </c>
      <c r="B258" s="203" t="s">
        <v>1</v>
      </c>
      <c r="C258" s="245" t="s">
        <v>2</v>
      </c>
      <c r="D258" s="245" t="s">
        <v>3</v>
      </c>
      <c r="E258" s="284" t="s">
        <v>17</v>
      </c>
      <c r="F258" s="284"/>
      <c r="G258" s="202" t="s">
        <v>4</v>
      </c>
      <c r="H258" s="203" t="s">
        <v>5</v>
      </c>
      <c r="I258" s="203" t="s">
        <v>6</v>
      </c>
      <c r="J258" s="203" t="s">
        <v>7</v>
      </c>
      <c r="L258" s="149">
        <f t="shared" si="35"/>
        <v>25</v>
      </c>
      <c r="M258" s="156" t="str">
        <f t="shared" si="36"/>
        <v/>
      </c>
      <c r="N258" s="157" t="str">
        <f t="shared" si="37"/>
        <v/>
      </c>
      <c r="O258" s="157" t="str">
        <f t="shared" si="39"/>
        <v/>
      </c>
      <c r="P258" s="158" t="str">
        <f t="shared" si="38"/>
        <v/>
      </c>
      <c r="Q258" s="157" t="str">
        <f>IF(P258&lt;&gt;"",SUMIF(L258:L306,L258,N258:N306),"")</f>
        <v/>
      </c>
      <c r="R258" s="157" t="str">
        <f>IF(P258&lt;&gt;"",SUMIF(L258:L306,L258,O258:O306),"")</f>
        <v/>
      </c>
    </row>
    <row r="259" spans="1:18" ht="25.5" customHeight="1" x14ac:dyDescent="0.2">
      <c r="A259" s="247" t="s">
        <v>18</v>
      </c>
      <c r="B259" s="207" t="s">
        <v>497</v>
      </c>
      <c r="C259" s="247" t="s">
        <v>11</v>
      </c>
      <c r="D259" s="247" t="s">
        <v>498</v>
      </c>
      <c r="E259" s="285" t="s">
        <v>268</v>
      </c>
      <c r="F259" s="285"/>
      <c r="G259" s="206" t="s">
        <v>291</v>
      </c>
      <c r="H259" s="209">
        <v>1</v>
      </c>
      <c r="I259" s="208">
        <f>SUMIF(L:L,$L259,M:M)</f>
        <v>8.42</v>
      </c>
      <c r="J259" s="208">
        <f>TRUNC(H259*I259,2)</f>
        <v>8.42</v>
      </c>
      <c r="L259" s="149">
        <f t="shared" si="35"/>
        <v>25</v>
      </c>
      <c r="M259" s="156" t="str">
        <f t="shared" si="36"/>
        <v/>
      </c>
      <c r="N259" s="157" t="str">
        <f t="shared" si="37"/>
        <v/>
      </c>
      <c r="O259" s="157" t="str">
        <f t="shared" si="39"/>
        <v/>
      </c>
      <c r="P259" s="158" t="str">
        <f t="shared" si="38"/>
        <v xml:space="preserve"> 04.03.08 </v>
      </c>
      <c r="Q259" s="157">
        <f>IF(P259&lt;&gt;"",SUMIF(L259:L306,L259,N259:N306),"")</f>
        <v>7.2799999999999994</v>
      </c>
      <c r="R259" s="157">
        <f>IF(P259&lt;&gt;"",SUMIF(L259:L306,L259,O259:O306),"")</f>
        <v>1.1399999999999999</v>
      </c>
    </row>
    <row r="260" spans="1:18" ht="25.5" customHeight="1" x14ac:dyDescent="0.2">
      <c r="A260" s="244" t="s">
        <v>20</v>
      </c>
      <c r="B260" s="212" t="s">
        <v>269</v>
      </c>
      <c r="C260" s="244" t="s">
        <v>8</v>
      </c>
      <c r="D260" s="244" t="s">
        <v>270</v>
      </c>
      <c r="E260" s="283" t="s">
        <v>26</v>
      </c>
      <c r="F260" s="283"/>
      <c r="G260" s="211" t="s">
        <v>27</v>
      </c>
      <c r="H260" s="214">
        <v>0.2</v>
      </c>
      <c r="I260" s="213">
        <f>SUMIFS('ANALÍTICA AUXILIARES'!J:J,'ANALÍTICA AUXILIARES'!A:A,"Composição",'ANALÍTICA AUXILIARES'!B:B,$B260)</f>
        <v>20.51</v>
      </c>
      <c r="J260" s="213">
        <f>TRUNC(H260*I260,2)</f>
        <v>4.0999999999999996</v>
      </c>
      <c r="L260" s="149">
        <f t="shared" si="35"/>
        <v>25</v>
      </c>
      <c r="M260" s="156">
        <f t="shared" si="36"/>
        <v>4.0999999999999996</v>
      </c>
      <c r="N260" s="157">
        <f t="shared" si="37"/>
        <v>4.0999999999999996</v>
      </c>
      <c r="O260" s="157" t="str">
        <f t="shared" si="39"/>
        <v/>
      </c>
      <c r="P260" s="158" t="str">
        <f t="shared" si="38"/>
        <v/>
      </c>
      <c r="Q260" s="157" t="str">
        <f>IF(P260&lt;&gt;"",SUMIF(L260:L306,L260,N260:N306),"")</f>
        <v/>
      </c>
      <c r="R260" s="157" t="str">
        <f>IF(P260&lt;&gt;"",SUMIF(L260:L306,L260,O260:O306),"")</f>
        <v/>
      </c>
    </row>
    <row r="261" spans="1:18" ht="25.5" x14ac:dyDescent="0.2">
      <c r="A261" s="244" t="s">
        <v>20</v>
      </c>
      <c r="B261" s="212" t="s">
        <v>264</v>
      </c>
      <c r="C261" s="244" t="s">
        <v>8</v>
      </c>
      <c r="D261" s="244" t="s">
        <v>265</v>
      </c>
      <c r="E261" s="283" t="s">
        <v>26</v>
      </c>
      <c r="F261" s="283"/>
      <c r="G261" s="211" t="s">
        <v>27</v>
      </c>
      <c r="H261" s="214">
        <v>0.2</v>
      </c>
      <c r="I261" s="213">
        <f>SUMIFS('ANALÍTICA AUXILIARES'!J:J,'ANALÍTICA AUXILIARES'!A:A,"Composição",'ANALÍTICA AUXILIARES'!B:B,$B261)</f>
        <v>15.91</v>
      </c>
      <c r="J261" s="213">
        <f>TRUNC(H261*I261,2)</f>
        <v>3.18</v>
      </c>
      <c r="L261" s="149">
        <f t="shared" si="35"/>
        <v>25</v>
      </c>
      <c r="M261" s="156">
        <f t="shared" si="36"/>
        <v>3.18</v>
      </c>
      <c r="N261" s="157">
        <f t="shared" si="37"/>
        <v>3.18</v>
      </c>
      <c r="O261" s="157" t="str">
        <f t="shared" si="39"/>
        <v/>
      </c>
      <c r="P261" s="158" t="str">
        <f t="shared" si="38"/>
        <v/>
      </c>
      <c r="Q261" s="157" t="str">
        <f>IF(P261&lt;&gt;"",SUMIF(L261:L306,L261,N261:N306),"")</f>
        <v/>
      </c>
      <c r="R261" s="157" t="str">
        <f>IF(P261&lt;&gt;"",SUMIF(L261:L306,L261,O261:O306),"")</f>
        <v/>
      </c>
    </row>
    <row r="262" spans="1:18" ht="14.25" customHeight="1" x14ac:dyDescent="0.2">
      <c r="A262" s="243" t="s">
        <v>30</v>
      </c>
      <c r="B262" s="216" t="s">
        <v>247</v>
      </c>
      <c r="C262" s="243" t="str">
        <f>VLOOKUP(B262,INSUMOS!$A:$I,2,FALSE)</f>
        <v>SINAPI</v>
      </c>
      <c r="D262" s="243" t="str">
        <f>VLOOKUP(B262,INSUMOS!$A:$I,3,FALSE)</f>
        <v>TERMINAL A COMPRESSAO EM COBRE ESTANHADO PARA CABO 16 MM2, 1 FURO E 1 COMPRESSAO, PARA PARAFUSO DE FIXACAO M6</v>
      </c>
      <c r="E262" s="281" t="str">
        <f>VLOOKUP(B262,INSUMOS!$A:$I,4,FALSE)</f>
        <v>Material</v>
      </c>
      <c r="F262" s="281"/>
      <c r="G262" s="215" t="str">
        <f>VLOOKUP(B262,INSUMOS!$A:$I,5,FALSE)</f>
        <v>UN</v>
      </c>
      <c r="H262" s="218">
        <v>1</v>
      </c>
      <c r="I262" s="217">
        <f>VLOOKUP(B262,INSUMOS!$A:$I,8,FALSE)</f>
        <v>1.1399999999999999</v>
      </c>
      <c r="J262" s="217">
        <f>TRUNC(H262*I262,2)</f>
        <v>1.1399999999999999</v>
      </c>
      <c r="L262" s="149">
        <f t="shared" si="35"/>
        <v>25</v>
      </c>
      <c r="M262" s="156">
        <f t="shared" si="36"/>
        <v>1.1399999999999999</v>
      </c>
      <c r="N262" s="157" t="str">
        <f t="shared" si="37"/>
        <v/>
      </c>
      <c r="O262" s="157">
        <f t="shared" si="39"/>
        <v>1.1399999999999999</v>
      </c>
      <c r="P262" s="158" t="str">
        <f t="shared" si="38"/>
        <v/>
      </c>
      <c r="Q262" s="157" t="str">
        <f>IF(P262&lt;&gt;"",SUMIF(L262:L306,L262,N262:N306),"")</f>
        <v/>
      </c>
      <c r="R262" s="157" t="str">
        <f>IF(P262&lt;&gt;"",SUMIF(L262:L306,L262,O262:O306),"")</f>
        <v/>
      </c>
    </row>
    <row r="263" spans="1:18" x14ac:dyDescent="0.2">
      <c r="A263" s="246"/>
      <c r="B263" s="246"/>
      <c r="C263" s="246"/>
      <c r="D263" s="246"/>
      <c r="E263" s="246"/>
      <c r="F263" s="222"/>
      <c r="G263" s="246"/>
      <c r="H263" s="222"/>
      <c r="I263" s="246"/>
      <c r="J263" s="222"/>
      <c r="L263" s="149">
        <f t="shared" si="35"/>
        <v>25</v>
      </c>
      <c r="M263" s="156" t="str">
        <f t="shared" si="36"/>
        <v/>
      </c>
      <c r="N263" s="157" t="str">
        <f t="shared" si="37"/>
        <v/>
      </c>
      <c r="O263" s="157" t="str">
        <f t="shared" si="39"/>
        <v/>
      </c>
      <c r="P263" s="158" t="str">
        <f t="shared" si="38"/>
        <v/>
      </c>
      <c r="Q263" s="157" t="str">
        <f>IF(P263&lt;&gt;"",SUMIF(L263:L306,L263,N263:N306),"")</f>
        <v/>
      </c>
      <c r="R263" s="157" t="str">
        <f>IF(P263&lt;&gt;"",SUMIF(L263:L306,L263,O263:O306),"")</f>
        <v/>
      </c>
    </row>
    <row r="264" spans="1:18" ht="25.5" customHeight="1" x14ac:dyDescent="0.2">
      <c r="A264" s="246"/>
      <c r="B264" s="246"/>
      <c r="C264" s="246"/>
      <c r="D264" s="246"/>
      <c r="E264" s="246"/>
      <c r="F264" s="222"/>
      <c r="G264" s="246"/>
      <c r="H264" s="282" t="s">
        <v>39</v>
      </c>
      <c r="I264" s="282"/>
      <c r="J264" s="222">
        <f>TRUNC(SUMIF(L:L,$L264,M:M)*(1+$J$9),2)</f>
        <v>10.29</v>
      </c>
      <c r="L264" s="149">
        <f t="shared" si="35"/>
        <v>25</v>
      </c>
      <c r="M264" s="156" t="str">
        <f t="shared" si="36"/>
        <v/>
      </c>
      <c r="N264" s="157" t="str">
        <f t="shared" si="37"/>
        <v/>
      </c>
      <c r="O264" s="157" t="str">
        <f t="shared" si="39"/>
        <v/>
      </c>
      <c r="P264" s="158" t="str">
        <f t="shared" si="38"/>
        <v/>
      </c>
      <c r="Q264" s="157" t="str">
        <f>IF(P264&lt;&gt;"",SUMIF(L264:L306,L264,N264:N306),"")</f>
        <v/>
      </c>
      <c r="R264" s="157" t="str">
        <f>IF(P264&lt;&gt;"",SUMIF(L264:L306,L264,O264:O306),"")</f>
        <v/>
      </c>
    </row>
    <row r="265" spans="1:18" ht="15" thickBot="1" x14ac:dyDescent="0.25">
      <c r="A265" s="219"/>
      <c r="B265" s="219"/>
      <c r="C265" s="219"/>
      <c r="D265" s="219"/>
      <c r="E265" s="219"/>
      <c r="F265" s="219"/>
      <c r="G265" s="219" t="s">
        <v>40</v>
      </c>
      <c r="H265" s="221">
        <v>4</v>
      </c>
      <c r="I265" s="219" t="s">
        <v>41</v>
      </c>
      <c r="J265" s="220">
        <f>TRUNC(J264*H265,2)</f>
        <v>41.16</v>
      </c>
      <c r="L265" s="149">
        <f t="shared" si="35"/>
        <v>25</v>
      </c>
      <c r="M265" s="156" t="str">
        <f t="shared" si="36"/>
        <v/>
      </c>
      <c r="N265" s="157" t="str">
        <f t="shared" si="37"/>
        <v/>
      </c>
      <c r="O265" s="157" t="str">
        <f t="shared" si="39"/>
        <v/>
      </c>
      <c r="P265" s="158" t="str">
        <f t="shared" si="38"/>
        <v/>
      </c>
      <c r="Q265" s="157" t="str">
        <f>IF(P265&lt;&gt;"",SUMIF(L265:L306,L265,N265:N306),"")</f>
        <v/>
      </c>
      <c r="R265" s="157" t="str">
        <f>IF(P265&lt;&gt;"",SUMIF(L265:L306,L265,O265:O306),"")</f>
        <v/>
      </c>
    </row>
    <row r="266" spans="1:18" ht="25.5" customHeight="1" thickTop="1" x14ac:dyDescent="0.2">
      <c r="A266" s="210"/>
      <c r="B266" s="210"/>
      <c r="C266" s="210"/>
      <c r="D266" s="210"/>
      <c r="E266" s="210"/>
      <c r="F266" s="210"/>
      <c r="G266" s="210"/>
      <c r="H266" s="210"/>
      <c r="I266" s="210"/>
      <c r="J266" s="210"/>
      <c r="L266" s="149">
        <f t="shared" si="35"/>
        <v>26</v>
      </c>
      <c r="M266" s="156" t="str">
        <f t="shared" si="36"/>
        <v/>
      </c>
      <c r="N266" s="157" t="str">
        <f t="shared" si="37"/>
        <v/>
      </c>
      <c r="O266" s="157" t="str">
        <f t="shared" si="39"/>
        <v/>
      </c>
      <c r="P266" s="158" t="str">
        <f t="shared" si="38"/>
        <v/>
      </c>
      <c r="Q266" s="157" t="str">
        <f>IF(P266&lt;&gt;"",SUMIF(L266:L306,L266,N266:N306),"")</f>
        <v/>
      </c>
      <c r="R266" s="157" t="str">
        <f>IF(P266&lt;&gt;"",SUMIF(L266:L306,L266,O266:O306),"")</f>
        <v/>
      </c>
    </row>
    <row r="267" spans="1:18" x14ac:dyDescent="0.2">
      <c r="A267" s="249" t="s">
        <v>499</v>
      </c>
      <c r="B267" s="249"/>
      <c r="C267" s="249"/>
      <c r="D267" s="249" t="s">
        <v>500</v>
      </c>
      <c r="E267" s="249"/>
      <c r="F267" s="286"/>
      <c r="G267" s="286"/>
      <c r="H267" s="204"/>
      <c r="I267" s="249"/>
      <c r="J267" s="205"/>
      <c r="L267" s="149">
        <f t="shared" si="35"/>
        <v>26</v>
      </c>
      <c r="M267" s="156" t="str">
        <f t="shared" si="36"/>
        <v/>
      </c>
      <c r="N267" s="157" t="str">
        <f t="shared" si="37"/>
        <v/>
      </c>
      <c r="O267" s="157" t="str">
        <f t="shared" si="39"/>
        <v/>
      </c>
      <c r="P267" s="158" t="str">
        <f t="shared" si="38"/>
        <v/>
      </c>
      <c r="Q267" s="157" t="str">
        <f>IF(P267&lt;&gt;"",SUMIF(L267:L306,L267,N267:N306),"")</f>
        <v/>
      </c>
      <c r="R267" s="157" t="str">
        <f>IF(P267&lt;&gt;"",SUMIF(L267:L306,L267,O267:O306),"")</f>
        <v/>
      </c>
    </row>
    <row r="268" spans="1:18" ht="15" x14ac:dyDescent="0.2">
      <c r="A268" s="245" t="s">
        <v>501</v>
      </c>
      <c r="B268" s="203" t="s">
        <v>1</v>
      </c>
      <c r="C268" s="245" t="s">
        <v>2</v>
      </c>
      <c r="D268" s="245" t="s">
        <v>3</v>
      </c>
      <c r="E268" s="284" t="s">
        <v>17</v>
      </c>
      <c r="F268" s="284"/>
      <c r="G268" s="202" t="s">
        <v>4</v>
      </c>
      <c r="H268" s="203" t="s">
        <v>5</v>
      </c>
      <c r="I268" s="203" t="s">
        <v>6</v>
      </c>
      <c r="J268" s="203" t="s">
        <v>7</v>
      </c>
      <c r="L268" s="149">
        <f t="shared" si="35"/>
        <v>26</v>
      </c>
      <c r="M268" s="156" t="str">
        <f t="shared" si="36"/>
        <v/>
      </c>
      <c r="N268" s="157" t="str">
        <f t="shared" si="37"/>
        <v/>
      </c>
      <c r="O268" s="157" t="str">
        <f t="shared" si="39"/>
        <v/>
      </c>
      <c r="P268" s="158" t="str">
        <f t="shared" si="38"/>
        <v/>
      </c>
      <c r="Q268" s="157" t="str">
        <f>IF(P268&lt;&gt;"",SUMIF(L268:L306,L268,N268:N306),"")</f>
        <v/>
      </c>
      <c r="R268" s="157" t="str">
        <f>IF(P268&lt;&gt;"",SUMIF(L268:L306,L268,O268:O306),"")</f>
        <v/>
      </c>
    </row>
    <row r="269" spans="1:18" ht="25.5" customHeight="1" x14ac:dyDescent="0.2">
      <c r="A269" s="247" t="s">
        <v>18</v>
      </c>
      <c r="B269" s="207" t="s">
        <v>502</v>
      </c>
      <c r="C269" s="247" t="s">
        <v>11</v>
      </c>
      <c r="D269" s="247" t="s">
        <v>503</v>
      </c>
      <c r="E269" s="285" t="s">
        <v>268</v>
      </c>
      <c r="F269" s="285"/>
      <c r="G269" s="206" t="s">
        <v>291</v>
      </c>
      <c r="H269" s="209">
        <v>1</v>
      </c>
      <c r="I269" s="208">
        <f>SUMIF(L:L,$L269,M:M)</f>
        <v>2106.2799999999997</v>
      </c>
      <c r="J269" s="208">
        <f t="shared" ref="J269:J276" si="40">TRUNC(H269*I269,2)</f>
        <v>2106.2800000000002</v>
      </c>
      <c r="L269" s="149">
        <f t="shared" si="35"/>
        <v>26</v>
      </c>
      <c r="M269" s="156" t="str">
        <f t="shared" si="36"/>
        <v/>
      </c>
      <c r="N269" s="157" t="str">
        <f t="shared" si="37"/>
        <v/>
      </c>
      <c r="O269" s="157" t="str">
        <f t="shared" si="39"/>
        <v/>
      </c>
      <c r="P269" s="158" t="str">
        <f t="shared" si="38"/>
        <v xml:space="preserve"> 04.04.01 </v>
      </c>
      <c r="Q269" s="157">
        <f>IF(P269&lt;&gt;"",SUMIF(L269:L306,L269,N269:N306),"")</f>
        <v>145.68</v>
      </c>
      <c r="R269" s="157">
        <f>IF(P269&lt;&gt;"",SUMIF(L269:L306,L269,O269:O306),"")</f>
        <v>1960.6</v>
      </c>
    </row>
    <row r="270" spans="1:18" ht="25.5" x14ac:dyDescent="0.2">
      <c r="A270" s="244" t="s">
        <v>20</v>
      </c>
      <c r="B270" s="212" t="s">
        <v>269</v>
      </c>
      <c r="C270" s="244" t="s">
        <v>8</v>
      </c>
      <c r="D270" s="244" t="s">
        <v>270</v>
      </c>
      <c r="E270" s="283" t="s">
        <v>26</v>
      </c>
      <c r="F270" s="283"/>
      <c r="G270" s="211" t="s">
        <v>27</v>
      </c>
      <c r="H270" s="214">
        <v>4</v>
      </c>
      <c r="I270" s="213">
        <f>SUMIFS('ANALÍTICA AUXILIARES'!J:J,'ANALÍTICA AUXILIARES'!A:A,"Composição",'ANALÍTICA AUXILIARES'!B:B,$B270)</f>
        <v>20.51</v>
      </c>
      <c r="J270" s="213">
        <f t="shared" si="40"/>
        <v>82.04</v>
      </c>
      <c r="L270" s="149">
        <f t="shared" si="35"/>
        <v>26</v>
      </c>
      <c r="M270" s="156">
        <f t="shared" si="36"/>
        <v>82.04</v>
      </c>
      <c r="N270" s="157">
        <f t="shared" si="37"/>
        <v>82.04</v>
      </c>
      <c r="O270" s="157" t="str">
        <f t="shared" si="39"/>
        <v/>
      </c>
      <c r="P270" s="158" t="str">
        <f t="shared" si="38"/>
        <v/>
      </c>
      <c r="Q270" s="157" t="str">
        <f>IF(P270&lt;&gt;"",SUMIF(L270:L306,L270,N270:N306),"")</f>
        <v/>
      </c>
      <c r="R270" s="157" t="str">
        <f>IF(P270&lt;&gt;"",SUMIF(L270:L306,L270,O270:O306),"")</f>
        <v/>
      </c>
    </row>
    <row r="271" spans="1:18" ht="14.25" customHeight="1" x14ac:dyDescent="0.2">
      <c r="A271" s="244" t="s">
        <v>20</v>
      </c>
      <c r="B271" s="212" t="s">
        <v>264</v>
      </c>
      <c r="C271" s="244" t="s">
        <v>8</v>
      </c>
      <c r="D271" s="244" t="s">
        <v>265</v>
      </c>
      <c r="E271" s="283" t="s">
        <v>26</v>
      </c>
      <c r="F271" s="283"/>
      <c r="G271" s="211" t="s">
        <v>27</v>
      </c>
      <c r="H271" s="214">
        <v>4</v>
      </c>
      <c r="I271" s="213">
        <f>SUMIFS('ANALÍTICA AUXILIARES'!J:J,'ANALÍTICA AUXILIARES'!A:A,"Composição",'ANALÍTICA AUXILIARES'!B:B,$B271)</f>
        <v>15.91</v>
      </c>
      <c r="J271" s="213">
        <f t="shared" si="40"/>
        <v>63.64</v>
      </c>
      <c r="L271" s="189">
        <f t="shared" ref="L271:L295" si="41">IF(AND(A272&lt;&gt;"",A271=""),L270+1,L270)</f>
        <v>26</v>
      </c>
      <c r="M271" s="156">
        <f t="shared" ref="M271:M295" si="42">IF(OR(A271="Insumo",A271="Composição Auxiliar"),J271,"")</f>
        <v>63.64</v>
      </c>
      <c r="N271" s="157">
        <f t="shared" ref="N271:N295" si="43">IF(ISNUMBER(SEARCH("COM ENCARGOS COMPLEMENTARES",D271)),J271,"")</f>
        <v>63.64</v>
      </c>
      <c r="O271" s="157" t="str">
        <f t="shared" ref="O271:O295" si="44">IF(N271&lt;&gt;"","",M271)</f>
        <v/>
      </c>
      <c r="P271" s="158" t="str">
        <f t="shared" ref="P271:P295" si="45">IF(A271="Composição",A270,"")</f>
        <v/>
      </c>
      <c r="Q271" s="157" t="str">
        <f>IF(P271&lt;&gt;"",SUMIF(L271:L306,L271,N271:N306),"")</f>
        <v/>
      </c>
      <c r="R271" s="157" t="str">
        <f>IF(P271&lt;&gt;"",SUMIF(L271:L306,L271,O271:O306),"")</f>
        <v/>
      </c>
    </row>
    <row r="272" spans="1:18" x14ac:dyDescent="0.2">
      <c r="A272" s="243" t="s">
        <v>30</v>
      </c>
      <c r="B272" s="216" t="s">
        <v>357</v>
      </c>
      <c r="C272" s="243" t="str">
        <f>VLOOKUP(B272,INSUMOS!$A:$I,2,FALSE)</f>
        <v>SINAPI</v>
      </c>
      <c r="D272" s="243" t="str">
        <f>VLOOKUP(B272,INSUMOS!$A:$I,3,FALSE)</f>
        <v>DISJUNTOR TIPO DIN/IEC, TRIPOLAR 63 A</v>
      </c>
      <c r="E272" s="281" t="str">
        <f>VLOOKUP(B272,INSUMOS!$A:$I,4,FALSE)</f>
        <v>Material</v>
      </c>
      <c r="F272" s="281"/>
      <c r="G272" s="215" t="str">
        <f>VLOOKUP(B272,INSUMOS!$A:$I,5,FALSE)</f>
        <v>UN</v>
      </c>
      <c r="H272" s="218">
        <v>4</v>
      </c>
      <c r="I272" s="217">
        <f>VLOOKUP(B272,INSUMOS!$A:$I,8,FALSE)</f>
        <v>51.48</v>
      </c>
      <c r="J272" s="217">
        <f t="shared" si="40"/>
        <v>205.92</v>
      </c>
      <c r="L272" s="189">
        <f t="shared" si="41"/>
        <v>26</v>
      </c>
      <c r="M272" s="156">
        <f t="shared" si="42"/>
        <v>205.92</v>
      </c>
      <c r="N272" s="157" t="str">
        <f t="shared" si="43"/>
        <v/>
      </c>
      <c r="O272" s="157">
        <f t="shared" si="44"/>
        <v>205.92</v>
      </c>
      <c r="P272" s="158" t="str">
        <f t="shared" si="45"/>
        <v/>
      </c>
      <c r="Q272" s="157" t="str">
        <f>IF(P272&lt;&gt;"",SUMIF(L272:L306,L272,N272:N306),"")</f>
        <v/>
      </c>
      <c r="R272" s="157" t="str">
        <f>IF(P272&lt;&gt;"",SUMIF(L272:L306,L272,O272:O306),"")</f>
        <v/>
      </c>
    </row>
    <row r="273" spans="1:18" ht="14.25" customHeight="1" x14ac:dyDescent="0.2">
      <c r="A273" s="243" t="s">
        <v>30</v>
      </c>
      <c r="B273" s="216" t="s">
        <v>343</v>
      </c>
      <c r="C273" s="243" t="str">
        <f>VLOOKUP(B273,INSUMOS!$A:$I,2,FALSE)</f>
        <v>SINAPI</v>
      </c>
      <c r="D273" s="243" t="str">
        <f>VLOOKUP(B273,INSUMOS!$A:$I,3,FALSE)</f>
        <v>DISPOSITIVO DPS CLASSE II, 1 POLO, TENSAO MAXIMA DE 275 V, CORRENTE MAXIMA DE *45* KA (TIPO AC)</v>
      </c>
      <c r="E273" s="281" t="str">
        <f>VLOOKUP(B273,INSUMOS!$A:$I,4,FALSE)</f>
        <v>Material</v>
      </c>
      <c r="F273" s="281"/>
      <c r="G273" s="215" t="str">
        <f>VLOOKUP(B273,INSUMOS!$A:$I,5,FALSE)</f>
        <v>UN</v>
      </c>
      <c r="H273" s="218">
        <v>4</v>
      </c>
      <c r="I273" s="217">
        <f>VLOOKUP(B273,INSUMOS!$A:$I,8,FALSE)</f>
        <v>70.66</v>
      </c>
      <c r="J273" s="217">
        <f t="shared" si="40"/>
        <v>282.64</v>
      </c>
      <c r="L273" s="189">
        <f t="shared" si="41"/>
        <v>26</v>
      </c>
      <c r="M273" s="156">
        <f t="shared" si="42"/>
        <v>282.64</v>
      </c>
      <c r="N273" s="157" t="str">
        <f t="shared" si="43"/>
        <v/>
      </c>
      <c r="O273" s="157">
        <f t="shared" si="44"/>
        <v>282.64</v>
      </c>
      <c r="P273" s="158" t="str">
        <f t="shared" si="45"/>
        <v/>
      </c>
      <c r="Q273" s="157" t="str">
        <f>IF(P273&lt;&gt;"",SUMIF(L273:L306,L273,N273:N306),"")</f>
        <v/>
      </c>
      <c r="R273" s="157" t="str">
        <f>IF(P273&lt;&gt;"",SUMIF(L273:L306,L273,O273:O306),"")</f>
        <v/>
      </c>
    </row>
    <row r="274" spans="1:18" x14ac:dyDescent="0.2">
      <c r="A274" s="243" t="s">
        <v>30</v>
      </c>
      <c r="B274" s="216" t="s">
        <v>217</v>
      </c>
      <c r="C274" s="243" t="str">
        <f>VLOOKUP(B274,INSUMOS!$A:$I,2,FALSE)</f>
        <v>SINAPI</v>
      </c>
      <c r="D274" s="243" t="str">
        <f>VLOOKUP(B274,INSUMOS!$A:$I,3,FALSE)</f>
        <v>DISJUNTOR TIPO DIN/IEC, MONOPOLAR DE 6  ATE  32A</v>
      </c>
      <c r="E274" s="281" t="str">
        <f>VLOOKUP(B274,INSUMOS!$A:$I,4,FALSE)</f>
        <v>Material</v>
      </c>
      <c r="F274" s="281"/>
      <c r="G274" s="215" t="str">
        <f>VLOOKUP(B274,INSUMOS!$A:$I,5,FALSE)</f>
        <v>UN</v>
      </c>
      <c r="H274" s="218">
        <v>3</v>
      </c>
      <c r="I274" s="217">
        <f>VLOOKUP(B274,INSUMOS!$A:$I,8,FALSE)</f>
        <v>6.13</v>
      </c>
      <c r="J274" s="217">
        <f t="shared" si="40"/>
        <v>18.39</v>
      </c>
      <c r="L274" s="189">
        <f t="shared" si="41"/>
        <v>26</v>
      </c>
      <c r="M274" s="156">
        <f t="shared" si="42"/>
        <v>18.39</v>
      </c>
      <c r="N274" s="157" t="str">
        <f t="shared" si="43"/>
        <v/>
      </c>
      <c r="O274" s="157">
        <f t="shared" si="44"/>
        <v>18.39</v>
      </c>
      <c r="P274" s="158" t="str">
        <f t="shared" si="45"/>
        <v/>
      </c>
      <c r="Q274" s="157" t="str">
        <f>IF(P274&lt;&gt;"",SUMIF(L274:L306,L274,N274:N306),"")</f>
        <v/>
      </c>
      <c r="R274" s="157" t="str">
        <f>IF(P274&lt;&gt;"",SUMIF(L274:L306,L274,O274:O306),"")</f>
        <v/>
      </c>
    </row>
    <row r="275" spans="1:18" ht="38.25" customHeight="1" x14ac:dyDescent="0.2">
      <c r="A275" s="243" t="s">
        <v>30</v>
      </c>
      <c r="B275" s="216" t="s">
        <v>351</v>
      </c>
      <c r="C275" s="243" t="str">
        <f>VLOOKUP(B275,INSUMOS!$A:$I,2,FALSE)</f>
        <v>SINAPI</v>
      </c>
      <c r="D275" s="243" t="str">
        <f>VLOOKUP(B275,INSUMOS!$A:$I,3,FALSE)</f>
        <v>DISJUNTOR TERMOMAGNETICO TRIPOLAR 125A</v>
      </c>
      <c r="E275" s="281" t="str">
        <f>VLOOKUP(B275,INSUMOS!$A:$I,4,FALSE)</f>
        <v>Material</v>
      </c>
      <c r="F275" s="281"/>
      <c r="G275" s="215" t="str">
        <f>VLOOKUP(B275,INSUMOS!$A:$I,5,FALSE)</f>
        <v>UN</v>
      </c>
      <c r="H275" s="218">
        <v>2</v>
      </c>
      <c r="I275" s="217">
        <f>VLOOKUP(B275,INSUMOS!$A:$I,8,FALSE)</f>
        <v>235.14</v>
      </c>
      <c r="J275" s="217">
        <f t="shared" si="40"/>
        <v>470.28</v>
      </c>
      <c r="L275" s="189">
        <f t="shared" si="41"/>
        <v>26</v>
      </c>
      <c r="M275" s="156">
        <f t="shared" si="42"/>
        <v>470.28</v>
      </c>
      <c r="N275" s="157" t="str">
        <f t="shared" si="43"/>
        <v/>
      </c>
      <c r="O275" s="157">
        <f t="shared" si="44"/>
        <v>470.28</v>
      </c>
      <c r="P275" s="158" t="str">
        <f t="shared" si="45"/>
        <v/>
      </c>
      <c r="Q275" s="157" t="str">
        <f>IF(P275&lt;&gt;"",SUMIF(L275:L306,L275,N275:N306),"")</f>
        <v/>
      </c>
      <c r="R275" s="157" t="str">
        <f>IF(P275&lt;&gt;"",SUMIF(L275:L306,L275,O275:O306),"")</f>
        <v/>
      </c>
    </row>
    <row r="276" spans="1:18" ht="38.25" x14ac:dyDescent="0.2">
      <c r="A276" s="243" t="s">
        <v>30</v>
      </c>
      <c r="B276" s="216" t="s">
        <v>319</v>
      </c>
      <c r="C276" s="243" t="str">
        <f>VLOOKUP(B276,INSUMOS!$A:$I,2,FALSE)</f>
        <v>SINAPI</v>
      </c>
      <c r="D276" s="243" t="str">
        <f>VLOOKUP(B276,INSUMOS!$A:$I,3,FALSE)</f>
        <v>QUADRO DE DISTRIBUICAO COM BARRAMENTO TRIFASICO, DE EMBUTIR, EM CHAPA DE ACO GALVANIZADO, PARA 30 DISJUNTORES DIN, 150 A</v>
      </c>
      <c r="E276" s="281" t="str">
        <f>VLOOKUP(B276,INSUMOS!$A:$I,4,FALSE)</f>
        <v>Material</v>
      </c>
      <c r="F276" s="281"/>
      <c r="G276" s="215" t="str">
        <f>VLOOKUP(B276,INSUMOS!$A:$I,5,FALSE)</f>
        <v>UN</v>
      </c>
      <c r="H276" s="218">
        <v>1</v>
      </c>
      <c r="I276" s="217">
        <f>VLOOKUP(B276,INSUMOS!$A:$I,8,FALSE)</f>
        <v>983.37</v>
      </c>
      <c r="J276" s="217">
        <f t="shared" si="40"/>
        <v>983.37</v>
      </c>
      <c r="L276" s="189">
        <f t="shared" si="41"/>
        <v>26</v>
      </c>
      <c r="M276" s="156">
        <f t="shared" si="42"/>
        <v>983.37</v>
      </c>
      <c r="N276" s="157" t="str">
        <f t="shared" si="43"/>
        <v/>
      </c>
      <c r="O276" s="157">
        <f t="shared" si="44"/>
        <v>983.37</v>
      </c>
      <c r="P276" s="158" t="str">
        <f t="shared" si="45"/>
        <v/>
      </c>
      <c r="Q276" s="157" t="str">
        <f>IF(P276&lt;&gt;"",SUMIF(L276:L306,L276,N276:N306),"")</f>
        <v/>
      </c>
      <c r="R276" s="157" t="str">
        <f>IF(P276&lt;&gt;"",SUMIF(L276:L306,L276,O276:O306),"")</f>
        <v/>
      </c>
    </row>
    <row r="277" spans="1:18" ht="25.5" customHeight="1" x14ac:dyDescent="0.2">
      <c r="A277" s="246"/>
      <c r="B277" s="246"/>
      <c r="C277" s="246"/>
      <c r="D277" s="246"/>
      <c r="E277" s="246"/>
      <c r="F277" s="222"/>
      <c r="G277" s="246"/>
      <c r="H277" s="222"/>
      <c r="I277" s="246"/>
      <c r="J277" s="222"/>
      <c r="L277" s="189">
        <f t="shared" si="41"/>
        <v>26</v>
      </c>
      <c r="M277" s="156" t="str">
        <f t="shared" si="42"/>
        <v/>
      </c>
      <c r="N277" s="157" t="str">
        <f t="shared" si="43"/>
        <v/>
      </c>
      <c r="O277" s="157" t="str">
        <f t="shared" si="44"/>
        <v/>
      </c>
      <c r="P277" s="158" t="str">
        <f t="shared" si="45"/>
        <v/>
      </c>
      <c r="Q277" s="157" t="str">
        <f>IF(P277&lt;&gt;"",SUMIF(L277:L306,L277,N277:N306),"")</f>
        <v/>
      </c>
      <c r="R277" s="157" t="str">
        <f>IF(P277&lt;&gt;"",SUMIF(L277:L306,L277,O277:O306),"")</f>
        <v/>
      </c>
    </row>
    <row r="278" spans="1:18" ht="14.25" customHeight="1" x14ac:dyDescent="0.2">
      <c r="A278" s="246"/>
      <c r="B278" s="246"/>
      <c r="C278" s="246"/>
      <c r="D278" s="246"/>
      <c r="E278" s="246"/>
      <c r="F278" s="222"/>
      <c r="G278" s="246"/>
      <c r="H278" s="282" t="s">
        <v>39</v>
      </c>
      <c r="I278" s="282"/>
      <c r="J278" s="222">
        <f>TRUNC(SUMIF(L:L,$L278,M:M)*(1+$J$9),2)</f>
        <v>2574.42</v>
      </c>
      <c r="L278" s="189">
        <f t="shared" si="41"/>
        <v>26</v>
      </c>
      <c r="M278" s="156" t="str">
        <f t="shared" si="42"/>
        <v/>
      </c>
      <c r="N278" s="157" t="str">
        <f t="shared" si="43"/>
        <v/>
      </c>
      <c r="O278" s="157" t="str">
        <f t="shared" si="44"/>
        <v/>
      </c>
      <c r="P278" s="158" t="str">
        <f t="shared" si="45"/>
        <v/>
      </c>
      <c r="Q278" s="157" t="str">
        <f>IF(P278&lt;&gt;"",SUMIF(L278:L306,L278,N278:N306),"")</f>
        <v/>
      </c>
      <c r="R278" s="157" t="str">
        <f>IF(P278&lt;&gt;"",SUMIF(L278:L306,L278,O278:O306),"")</f>
        <v/>
      </c>
    </row>
    <row r="279" spans="1:18" ht="25.5" customHeight="1" thickBot="1" x14ac:dyDescent="0.25">
      <c r="A279" s="219"/>
      <c r="B279" s="219"/>
      <c r="C279" s="219"/>
      <c r="D279" s="219"/>
      <c r="E279" s="219"/>
      <c r="F279" s="219"/>
      <c r="G279" s="219" t="s">
        <v>40</v>
      </c>
      <c r="H279" s="221">
        <v>1</v>
      </c>
      <c r="I279" s="219" t="s">
        <v>41</v>
      </c>
      <c r="J279" s="220">
        <f>TRUNC(J278*H279,2)</f>
        <v>2574.42</v>
      </c>
      <c r="L279" s="189">
        <f t="shared" si="41"/>
        <v>26</v>
      </c>
      <c r="M279" s="156" t="str">
        <f t="shared" si="42"/>
        <v/>
      </c>
      <c r="N279" s="157" t="str">
        <f t="shared" si="43"/>
        <v/>
      </c>
      <c r="O279" s="157" t="str">
        <f t="shared" si="44"/>
        <v/>
      </c>
      <c r="P279" s="158" t="str">
        <f t="shared" si="45"/>
        <v/>
      </c>
      <c r="Q279" s="157" t="str">
        <f>IF(P279&lt;&gt;"",SUMIF(L279:L306,L279,N279:N306),"")</f>
        <v/>
      </c>
      <c r="R279" s="157" t="str">
        <f>IF(P279&lt;&gt;"",SUMIF(L279:L306,L279,O279:O306),"")</f>
        <v/>
      </c>
    </row>
    <row r="280" spans="1:18" ht="38.25" customHeight="1" thickTop="1" x14ac:dyDescent="0.2">
      <c r="A280" s="210"/>
      <c r="B280" s="210"/>
      <c r="C280" s="210"/>
      <c r="D280" s="210"/>
      <c r="E280" s="210"/>
      <c r="F280" s="210"/>
      <c r="G280" s="210"/>
      <c r="H280" s="210"/>
      <c r="I280" s="210"/>
      <c r="J280" s="210"/>
      <c r="L280" s="189">
        <f t="shared" si="41"/>
        <v>27</v>
      </c>
      <c r="M280" s="156" t="str">
        <f t="shared" si="42"/>
        <v/>
      </c>
      <c r="N280" s="157" t="str">
        <f t="shared" si="43"/>
        <v/>
      </c>
      <c r="O280" s="157" t="str">
        <f t="shared" si="44"/>
        <v/>
      </c>
      <c r="P280" s="158" t="str">
        <f t="shared" si="45"/>
        <v/>
      </c>
      <c r="Q280" s="157" t="str">
        <f>IF(P280&lt;&gt;"",SUMIF(L280:L306,L280,N280:N306),"")</f>
        <v/>
      </c>
      <c r="R280" s="157" t="str">
        <f>IF(P280&lt;&gt;"",SUMIF(L280:L306,L280,O280:O306),"")</f>
        <v/>
      </c>
    </row>
    <row r="281" spans="1:18" ht="14.25" customHeight="1" x14ac:dyDescent="0.2">
      <c r="A281" s="249" t="s">
        <v>504</v>
      </c>
      <c r="B281" s="249"/>
      <c r="C281" s="249"/>
      <c r="D281" s="249" t="s">
        <v>16</v>
      </c>
      <c r="E281" s="249"/>
      <c r="F281" s="286"/>
      <c r="G281" s="286"/>
      <c r="H281" s="204"/>
      <c r="I281" s="249"/>
      <c r="J281" s="205"/>
      <c r="L281" s="189">
        <f t="shared" si="41"/>
        <v>27</v>
      </c>
      <c r="M281" s="156" t="str">
        <f t="shared" si="42"/>
        <v/>
      </c>
      <c r="N281" s="157" t="str">
        <f t="shared" si="43"/>
        <v/>
      </c>
      <c r="O281" s="157" t="str">
        <f t="shared" si="44"/>
        <v/>
      </c>
      <c r="P281" s="158" t="str">
        <f t="shared" si="45"/>
        <v/>
      </c>
      <c r="Q281" s="157" t="str">
        <f>IF(P281&lt;&gt;"",SUMIF(L281:L306,L281,N281:N306),"")</f>
        <v/>
      </c>
      <c r="R281" s="157" t="str">
        <f>IF(P281&lt;&gt;"",SUMIF(L281:L306,L281,O281:O306),"")</f>
        <v/>
      </c>
    </row>
    <row r="282" spans="1:18" ht="15" x14ac:dyDescent="0.2">
      <c r="A282" s="245" t="s">
        <v>505</v>
      </c>
      <c r="B282" s="203" t="s">
        <v>1</v>
      </c>
      <c r="C282" s="245" t="s">
        <v>2</v>
      </c>
      <c r="D282" s="245" t="s">
        <v>3</v>
      </c>
      <c r="E282" s="284" t="s">
        <v>17</v>
      </c>
      <c r="F282" s="284"/>
      <c r="G282" s="202" t="s">
        <v>4</v>
      </c>
      <c r="H282" s="203" t="s">
        <v>5</v>
      </c>
      <c r="I282" s="203" t="s">
        <v>6</v>
      </c>
      <c r="J282" s="203" t="s">
        <v>7</v>
      </c>
      <c r="L282" s="189">
        <f t="shared" si="41"/>
        <v>27</v>
      </c>
      <c r="M282" s="156" t="str">
        <f t="shared" si="42"/>
        <v/>
      </c>
      <c r="N282" s="157" t="str">
        <f t="shared" si="43"/>
        <v/>
      </c>
      <c r="O282" s="157" t="str">
        <f t="shared" si="44"/>
        <v/>
      </c>
      <c r="P282" s="158" t="str">
        <f t="shared" si="45"/>
        <v/>
      </c>
      <c r="Q282" s="157" t="str">
        <f>IF(P282&lt;&gt;"",SUMIF(L282:L306,L282,N282:N306),"")</f>
        <v/>
      </c>
      <c r="R282" s="157" t="str">
        <f>IF(P282&lt;&gt;"",SUMIF(L282:L306,L282,O282:O306),"")</f>
        <v/>
      </c>
    </row>
    <row r="283" spans="1:18" ht="25.5" customHeight="1" x14ac:dyDescent="0.2">
      <c r="A283" s="247" t="s">
        <v>18</v>
      </c>
      <c r="B283" s="207" t="s">
        <v>275</v>
      </c>
      <c r="C283" s="247" t="s">
        <v>8</v>
      </c>
      <c r="D283" s="247" t="s">
        <v>276</v>
      </c>
      <c r="E283" s="285" t="s">
        <v>26</v>
      </c>
      <c r="F283" s="285"/>
      <c r="G283" s="206" t="s">
        <v>27</v>
      </c>
      <c r="H283" s="209">
        <v>1</v>
      </c>
      <c r="I283" s="208">
        <f>SUMIF(L:L,$L283,M:M)</f>
        <v>126.33999999999999</v>
      </c>
      <c r="J283" s="208">
        <f t="shared" ref="J283:J289" si="46">TRUNC(H283*I283,2)</f>
        <v>126.34</v>
      </c>
      <c r="L283" s="189">
        <f t="shared" si="41"/>
        <v>27</v>
      </c>
      <c r="M283" s="156" t="str">
        <f t="shared" si="42"/>
        <v/>
      </c>
      <c r="N283" s="157">
        <f t="shared" si="43"/>
        <v>126.34</v>
      </c>
      <c r="O283" s="157" t="str">
        <f t="shared" si="44"/>
        <v/>
      </c>
      <c r="P283" s="158" t="str">
        <f t="shared" si="45"/>
        <v xml:space="preserve"> 05.01 </v>
      </c>
      <c r="Q283" s="157">
        <f>IF(P283&lt;&gt;"",SUMIF(L283:L306,L283,N283:N306),"")</f>
        <v>126.34</v>
      </c>
      <c r="R283" s="157">
        <f>IF(P283&lt;&gt;"",SUMIF(L283:L306,L283,O283:O306),"")</f>
        <v>126.33999999999999</v>
      </c>
    </row>
    <row r="284" spans="1:18" ht="25.5" x14ac:dyDescent="0.2">
      <c r="A284" s="244" t="s">
        <v>20</v>
      </c>
      <c r="B284" s="212" t="s">
        <v>273</v>
      </c>
      <c r="C284" s="244" t="s">
        <v>8</v>
      </c>
      <c r="D284" s="244" t="s">
        <v>274</v>
      </c>
      <c r="E284" s="283" t="s">
        <v>26</v>
      </c>
      <c r="F284" s="283"/>
      <c r="G284" s="211" t="s">
        <v>27</v>
      </c>
      <c r="H284" s="214">
        <v>1</v>
      </c>
      <c r="I284" s="213">
        <f>SUMIFS('ANALÍTICA AUXILIARES'!J:J,'ANALÍTICA AUXILIARES'!A:A,"Composição",'ANALÍTICA AUXILIARES'!B:B,$B284)</f>
        <v>2.87</v>
      </c>
      <c r="J284" s="213">
        <f t="shared" si="46"/>
        <v>2.87</v>
      </c>
      <c r="L284" s="189">
        <f t="shared" si="41"/>
        <v>27</v>
      </c>
      <c r="M284" s="156">
        <f t="shared" si="42"/>
        <v>2.87</v>
      </c>
      <c r="N284" s="157" t="str">
        <f t="shared" si="43"/>
        <v/>
      </c>
      <c r="O284" s="157">
        <f t="shared" si="44"/>
        <v>2.87</v>
      </c>
      <c r="P284" s="158" t="str">
        <f t="shared" si="45"/>
        <v/>
      </c>
      <c r="Q284" s="157" t="str">
        <f>IF(P284&lt;&gt;"",SUMIF(L284:L306,L284,N284:N306),"")</f>
        <v/>
      </c>
      <c r="R284" s="157" t="str">
        <f>IF(P284&lt;&gt;"",SUMIF(L284:L306,L284,O284:O306),"")</f>
        <v/>
      </c>
    </row>
    <row r="285" spans="1:18" ht="38.25" customHeight="1" x14ac:dyDescent="0.2">
      <c r="A285" s="243" t="s">
        <v>30</v>
      </c>
      <c r="B285" s="216" t="s">
        <v>196</v>
      </c>
      <c r="C285" s="243" t="str">
        <f>VLOOKUP(B285,INSUMOS!$A:$I,2,FALSE)</f>
        <v>SINAPI</v>
      </c>
      <c r="D285" s="243" t="str">
        <f>VLOOKUP(B285,INSUMOS!$A:$I,3,FALSE)</f>
        <v>ENGENHEIRO ELETRICISTA</v>
      </c>
      <c r="E285" s="281" t="str">
        <f>VLOOKUP(B285,INSUMOS!$A:$I,4,FALSE)</f>
        <v>Mão de Obra</v>
      </c>
      <c r="F285" s="281"/>
      <c r="G285" s="215" t="str">
        <f>VLOOKUP(B285,INSUMOS!$A:$I,5,FALSE)</f>
        <v>H</v>
      </c>
      <c r="H285" s="218">
        <v>1</v>
      </c>
      <c r="I285" s="217">
        <f>VLOOKUP(B285,INSUMOS!$A:$I,8,FALSE)</f>
        <v>122.47</v>
      </c>
      <c r="J285" s="217">
        <f t="shared" si="46"/>
        <v>122.47</v>
      </c>
      <c r="L285" s="189">
        <f t="shared" si="41"/>
        <v>27</v>
      </c>
      <c r="M285" s="156">
        <f t="shared" si="42"/>
        <v>122.47</v>
      </c>
      <c r="N285" s="157" t="str">
        <f t="shared" si="43"/>
        <v/>
      </c>
      <c r="O285" s="157">
        <f t="shared" si="44"/>
        <v>122.47</v>
      </c>
      <c r="P285" s="158" t="str">
        <f t="shared" si="45"/>
        <v/>
      </c>
      <c r="Q285" s="157" t="str">
        <f>IF(P285&lt;&gt;"",SUMIF(L285:L306,L285,N285:N306),"")</f>
        <v/>
      </c>
      <c r="R285" s="157" t="str">
        <f>IF(P285&lt;&gt;"",SUMIF(L285:L306,L285,O285:O306),"")</f>
        <v/>
      </c>
    </row>
    <row r="286" spans="1:18" ht="14.25" customHeight="1" x14ac:dyDescent="0.2">
      <c r="A286" s="243" t="s">
        <v>30</v>
      </c>
      <c r="B286" s="216" t="s">
        <v>227</v>
      </c>
      <c r="C286" s="243" t="str">
        <f>VLOOKUP(B286,INSUMOS!$A:$I,2,FALSE)</f>
        <v>SINAPI</v>
      </c>
      <c r="D286" s="243" t="str">
        <f>VLOOKUP(B286,INSUMOS!$A:$I,3,FALSE)</f>
        <v>EPI - FAMILIA ENGENHEIRO CIVIL - HORISTA (ENCARGOS COMPLEMENTARES - COLETADO CAIXA)</v>
      </c>
      <c r="E286" s="281" t="str">
        <f>VLOOKUP(B286,INSUMOS!$A:$I,4,FALSE)</f>
        <v>Equipamento</v>
      </c>
      <c r="F286" s="281"/>
      <c r="G286" s="215" t="str">
        <f>VLOOKUP(B286,INSUMOS!$A:$I,5,FALSE)</f>
        <v>H</v>
      </c>
      <c r="H286" s="218">
        <v>1</v>
      </c>
      <c r="I286" s="217">
        <f>VLOOKUP(B286,INSUMOS!$A:$I,8,FALSE)</f>
        <v>0.56999999999999995</v>
      </c>
      <c r="J286" s="217">
        <f t="shared" si="46"/>
        <v>0.56999999999999995</v>
      </c>
      <c r="L286" s="189">
        <f t="shared" si="41"/>
        <v>27</v>
      </c>
      <c r="M286" s="156">
        <f t="shared" si="42"/>
        <v>0.56999999999999995</v>
      </c>
      <c r="N286" s="157" t="str">
        <f t="shared" si="43"/>
        <v/>
      </c>
      <c r="O286" s="157">
        <f t="shared" si="44"/>
        <v>0.56999999999999995</v>
      </c>
      <c r="P286" s="158" t="str">
        <f t="shared" si="45"/>
        <v/>
      </c>
      <c r="Q286" s="157" t="str">
        <f>IF(P286&lt;&gt;"",SUMIF(L286:L306,L286,N286:N306),"")</f>
        <v/>
      </c>
      <c r="R286" s="157" t="str">
        <f>IF(P286&lt;&gt;"",SUMIF(L286:L306,L286,O286:O306),"")</f>
        <v/>
      </c>
    </row>
    <row r="287" spans="1:18" x14ac:dyDescent="0.2">
      <c r="A287" s="243" t="s">
        <v>30</v>
      </c>
      <c r="B287" s="216" t="s">
        <v>89</v>
      </c>
      <c r="C287" s="243" t="str">
        <f>VLOOKUP(B287,INSUMOS!$A:$I,2,FALSE)</f>
        <v>SINAPI</v>
      </c>
      <c r="D287" s="243" t="str">
        <f>VLOOKUP(B287,INSUMOS!$A:$I,3,FALSE)</f>
        <v>EXAMES - HORISTA (COLETADO CAIXA)</v>
      </c>
      <c r="E287" s="281" t="str">
        <f>VLOOKUP(B287,INSUMOS!$A:$I,4,FALSE)</f>
        <v>Outros</v>
      </c>
      <c r="F287" s="281"/>
      <c r="G287" s="215" t="str">
        <f>VLOOKUP(B287,INSUMOS!$A:$I,5,FALSE)</f>
        <v>H</v>
      </c>
      <c r="H287" s="218">
        <v>1</v>
      </c>
      <c r="I287" s="217">
        <f>VLOOKUP(B287,INSUMOS!$A:$I,8,FALSE)</f>
        <v>0.35</v>
      </c>
      <c r="J287" s="217">
        <f t="shared" si="46"/>
        <v>0.35</v>
      </c>
      <c r="L287" s="189">
        <f t="shared" si="41"/>
        <v>27</v>
      </c>
      <c r="M287" s="156">
        <f t="shared" si="42"/>
        <v>0.35</v>
      </c>
      <c r="N287" s="157" t="str">
        <f t="shared" si="43"/>
        <v/>
      </c>
      <c r="O287" s="157">
        <f t="shared" si="44"/>
        <v>0.35</v>
      </c>
      <c r="P287" s="158" t="str">
        <f t="shared" si="45"/>
        <v/>
      </c>
      <c r="Q287" s="157" t="str">
        <f>IF(P287&lt;&gt;"",SUMIF(L287:L306,L287,N287:N306),"")</f>
        <v/>
      </c>
      <c r="R287" s="157" t="str">
        <f>IF(P287&lt;&gt;"",SUMIF(L287:L306,L287,O287:O306),"")</f>
        <v/>
      </c>
    </row>
    <row r="288" spans="1:18" ht="25.5" x14ac:dyDescent="0.2">
      <c r="A288" s="243" t="s">
        <v>30</v>
      </c>
      <c r="B288" s="216" t="s">
        <v>245</v>
      </c>
      <c r="C288" s="243" t="str">
        <f>VLOOKUP(B288,INSUMOS!$A:$I,2,FALSE)</f>
        <v>SINAPI</v>
      </c>
      <c r="D288" s="243" t="str">
        <f>VLOOKUP(B288,INSUMOS!$A:$I,3,FALSE)</f>
        <v>FERRAMENTAS - FAMILIA ENGENHEIRO CIVIL - HORISTA (ENCARGOS COMPLEMENTARES - COLETADO CAIXA)</v>
      </c>
      <c r="E288" s="281" t="str">
        <f>VLOOKUP(B288,INSUMOS!$A:$I,4,FALSE)</f>
        <v>Equipamento</v>
      </c>
      <c r="F288" s="281"/>
      <c r="G288" s="215" t="str">
        <f>VLOOKUP(B288,INSUMOS!$A:$I,5,FALSE)</f>
        <v>H</v>
      </c>
      <c r="H288" s="218">
        <v>1</v>
      </c>
      <c r="I288" s="217">
        <f>VLOOKUP(B288,INSUMOS!$A:$I,8,FALSE)</f>
        <v>0.01</v>
      </c>
      <c r="J288" s="217">
        <f t="shared" si="46"/>
        <v>0.01</v>
      </c>
      <c r="L288" s="189">
        <f t="shared" si="41"/>
        <v>27</v>
      </c>
      <c r="M288" s="156">
        <f t="shared" si="42"/>
        <v>0.01</v>
      </c>
      <c r="N288" s="157" t="str">
        <f t="shared" si="43"/>
        <v/>
      </c>
      <c r="O288" s="157">
        <f t="shared" si="44"/>
        <v>0.01</v>
      </c>
      <c r="P288" s="158" t="str">
        <f t="shared" si="45"/>
        <v/>
      </c>
      <c r="Q288" s="157" t="str">
        <f>IF(P288&lt;&gt;"",SUMIF(L288:L306,L288,N288:N306),"")</f>
        <v/>
      </c>
      <c r="R288" s="157" t="str">
        <f>IF(P288&lt;&gt;"",SUMIF(L288:L306,L288,O288:O306),"")</f>
        <v/>
      </c>
    </row>
    <row r="289" spans="1:18" ht="25.5" customHeight="1" x14ac:dyDescent="0.2">
      <c r="A289" s="243" t="s">
        <v>30</v>
      </c>
      <c r="B289" s="216" t="s">
        <v>91</v>
      </c>
      <c r="C289" s="243" t="str">
        <f>VLOOKUP(B289,INSUMOS!$A:$I,2,FALSE)</f>
        <v>SINAPI</v>
      </c>
      <c r="D289" s="243" t="str">
        <f>VLOOKUP(B289,INSUMOS!$A:$I,3,FALSE)</f>
        <v>SEGURO - HORISTA (COLETADO CAIXA)</v>
      </c>
      <c r="E289" s="281" t="str">
        <f>VLOOKUP(B289,INSUMOS!$A:$I,4,FALSE)</f>
        <v>Taxas</v>
      </c>
      <c r="F289" s="281"/>
      <c r="G289" s="215" t="str">
        <f>VLOOKUP(B289,INSUMOS!$A:$I,5,FALSE)</f>
        <v>H</v>
      </c>
      <c r="H289" s="218">
        <v>1</v>
      </c>
      <c r="I289" s="217">
        <f>VLOOKUP(B289,INSUMOS!$A:$I,8,FALSE)</f>
        <v>7.0000000000000007E-2</v>
      </c>
      <c r="J289" s="217">
        <f t="shared" si="46"/>
        <v>7.0000000000000007E-2</v>
      </c>
      <c r="L289" s="189">
        <f t="shared" si="41"/>
        <v>27</v>
      </c>
      <c r="M289" s="156">
        <f t="shared" si="42"/>
        <v>7.0000000000000007E-2</v>
      </c>
      <c r="N289" s="157" t="str">
        <f t="shared" si="43"/>
        <v/>
      </c>
      <c r="O289" s="157">
        <f t="shared" si="44"/>
        <v>7.0000000000000007E-2</v>
      </c>
      <c r="P289" s="158" t="str">
        <f t="shared" si="45"/>
        <v/>
      </c>
      <c r="Q289" s="157" t="str">
        <f>IF(P289&lt;&gt;"",SUMIF(L289:L306,L289,N289:N306),"")</f>
        <v/>
      </c>
      <c r="R289" s="157" t="str">
        <f>IF(P289&lt;&gt;"",SUMIF(L289:L306,L289,O289:O306),"")</f>
        <v/>
      </c>
    </row>
    <row r="290" spans="1:18" ht="14.25" customHeight="1" x14ac:dyDescent="0.2">
      <c r="A290" s="246"/>
      <c r="B290" s="246"/>
      <c r="C290" s="246"/>
      <c r="D290" s="246"/>
      <c r="E290" s="246"/>
      <c r="F290" s="222"/>
      <c r="G290" s="246"/>
      <c r="H290" s="222"/>
      <c r="I290" s="246"/>
      <c r="J290" s="222"/>
      <c r="L290" s="189">
        <f t="shared" si="41"/>
        <v>27</v>
      </c>
      <c r="M290" s="156" t="str">
        <f t="shared" si="42"/>
        <v/>
      </c>
      <c r="N290" s="157" t="str">
        <f t="shared" si="43"/>
        <v/>
      </c>
      <c r="O290" s="157" t="str">
        <f t="shared" si="44"/>
        <v/>
      </c>
      <c r="P290" s="158" t="str">
        <f t="shared" si="45"/>
        <v/>
      </c>
      <c r="Q290" s="157" t="str">
        <f>IF(P290&lt;&gt;"",SUMIF(L290:L306,L290,N290:N306),"")</f>
        <v/>
      </c>
      <c r="R290" s="157" t="str">
        <f>IF(P290&lt;&gt;"",SUMIF(L290:L306,L290,O290:O306),"")</f>
        <v/>
      </c>
    </row>
    <row r="291" spans="1:18" ht="14.25" customHeight="1" x14ac:dyDescent="0.2">
      <c r="A291" s="246"/>
      <c r="B291" s="246"/>
      <c r="C291" s="246"/>
      <c r="D291" s="246"/>
      <c r="E291" s="246"/>
      <c r="F291" s="222"/>
      <c r="G291" s="246"/>
      <c r="H291" s="282" t="s">
        <v>39</v>
      </c>
      <c r="I291" s="282"/>
      <c r="J291" s="222">
        <f>TRUNC(SUMIF(L:L,$L291,M:M)*(1+$J$9),2)</f>
        <v>154.41999999999999</v>
      </c>
      <c r="L291" s="189">
        <f t="shared" si="41"/>
        <v>27</v>
      </c>
      <c r="M291" s="156" t="str">
        <f t="shared" si="42"/>
        <v/>
      </c>
      <c r="N291" s="157" t="str">
        <f t="shared" si="43"/>
        <v/>
      </c>
      <c r="O291" s="157" t="str">
        <f t="shared" si="44"/>
        <v/>
      </c>
      <c r="P291" s="158" t="str">
        <f t="shared" si="45"/>
        <v/>
      </c>
      <c r="Q291" s="157" t="str">
        <f>IF(P291&lt;&gt;"",SUMIF(L291:L306,L291,N291:N306),"")</f>
        <v/>
      </c>
      <c r="R291" s="157" t="str">
        <f>IF(P291&lt;&gt;"",SUMIF(L291:L306,L291,O291:O306),"")</f>
        <v/>
      </c>
    </row>
    <row r="292" spans="1:18" ht="15" thickBot="1" x14ac:dyDescent="0.25">
      <c r="A292" s="219"/>
      <c r="B292" s="219"/>
      <c r="C292" s="219"/>
      <c r="D292" s="219"/>
      <c r="E292" s="219"/>
      <c r="F292" s="219"/>
      <c r="G292" s="219" t="s">
        <v>40</v>
      </c>
      <c r="H292" s="221">
        <v>48</v>
      </c>
      <c r="I292" s="219" t="s">
        <v>41</v>
      </c>
      <c r="J292" s="220">
        <f>TRUNC(J291*H292,2)</f>
        <v>7412.16</v>
      </c>
      <c r="L292" s="189">
        <f t="shared" si="41"/>
        <v>27</v>
      </c>
      <c r="M292" s="156" t="str">
        <f t="shared" si="42"/>
        <v/>
      </c>
      <c r="N292" s="157" t="str">
        <f t="shared" si="43"/>
        <v/>
      </c>
      <c r="O292" s="157" t="str">
        <f t="shared" si="44"/>
        <v/>
      </c>
      <c r="P292" s="158" t="str">
        <f t="shared" si="45"/>
        <v/>
      </c>
      <c r="Q292" s="157" t="str">
        <f>IF(P292&lt;&gt;"",SUMIF(L292:L306,L292,N292:N306),"")</f>
        <v/>
      </c>
      <c r="R292" s="157" t="str">
        <f>IF(P292&lt;&gt;"",SUMIF(L292:L306,L292,O292:O306),"")</f>
        <v/>
      </c>
    </row>
    <row r="293" spans="1:18" ht="15" thickTop="1" x14ac:dyDescent="0.2">
      <c r="A293" s="210"/>
      <c r="B293" s="210"/>
      <c r="C293" s="210"/>
      <c r="D293" s="210"/>
      <c r="E293" s="210"/>
      <c r="F293" s="210"/>
      <c r="G293" s="210"/>
      <c r="H293" s="210"/>
      <c r="I293" s="210"/>
      <c r="J293" s="210"/>
      <c r="L293" s="189">
        <f t="shared" si="41"/>
        <v>28</v>
      </c>
      <c r="M293" s="156" t="str">
        <f t="shared" si="42"/>
        <v/>
      </c>
      <c r="N293" s="157" t="str">
        <f t="shared" si="43"/>
        <v/>
      </c>
      <c r="O293" s="157" t="str">
        <f t="shared" si="44"/>
        <v/>
      </c>
      <c r="P293" s="158" t="str">
        <f t="shared" si="45"/>
        <v/>
      </c>
      <c r="Q293" s="157" t="str">
        <f>IF(P293&lt;&gt;"",SUMIF(L293:L306,L293,N293:N306),"")</f>
        <v/>
      </c>
      <c r="R293" s="157" t="str">
        <f>IF(P293&lt;&gt;"",SUMIF(L293:L306,L293,O293:O306),"")</f>
        <v/>
      </c>
    </row>
    <row r="294" spans="1:18" ht="15" x14ac:dyDescent="0.2">
      <c r="A294" s="245" t="s">
        <v>506</v>
      </c>
      <c r="B294" s="203" t="s">
        <v>1</v>
      </c>
      <c r="C294" s="245" t="s">
        <v>2</v>
      </c>
      <c r="D294" s="245" t="s">
        <v>3</v>
      </c>
      <c r="E294" s="284" t="s">
        <v>17</v>
      </c>
      <c r="F294" s="284"/>
      <c r="G294" s="202" t="s">
        <v>4</v>
      </c>
      <c r="H294" s="203" t="s">
        <v>5</v>
      </c>
      <c r="I294" s="203" t="s">
        <v>6</v>
      </c>
      <c r="J294" s="203" t="s">
        <v>7</v>
      </c>
      <c r="L294" s="189">
        <f t="shared" si="41"/>
        <v>28</v>
      </c>
      <c r="M294" s="156" t="str">
        <f t="shared" si="42"/>
        <v/>
      </c>
      <c r="N294" s="157" t="str">
        <f t="shared" si="43"/>
        <v/>
      </c>
      <c r="O294" s="157" t="str">
        <f t="shared" si="44"/>
        <v/>
      </c>
      <c r="P294" s="158" t="str">
        <f t="shared" si="45"/>
        <v/>
      </c>
      <c r="Q294" s="157" t="str">
        <f>IF(P294&lt;&gt;"",SUMIF(L294:L306,L294,N294:N306),"")</f>
        <v/>
      </c>
      <c r="R294" s="157" t="str">
        <f>IF(P294&lt;&gt;"",SUMIF(L294:L306,L294,O294:O306),"")</f>
        <v/>
      </c>
    </row>
    <row r="295" spans="1:18" ht="25.5" customHeight="1" x14ac:dyDescent="0.2">
      <c r="A295" s="247" t="s">
        <v>18</v>
      </c>
      <c r="B295" s="207" t="s">
        <v>286</v>
      </c>
      <c r="C295" s="247" t="s">
        <v>8</v>
      </c>
      <c r="D295" s="247" t="s">
        <v>287</v>
      </c>
      <c r="E295" s="285" t="s">
        <v>26</v>
      </c>
      <c r="F295" s="285"/>
      <c r="G295" s="206" t="s">
        <v>27</v>
      </c>
      <c r="H295" s="209">
        <v>1</v>
      </c>
      <c r="I295" s="208">
        <f>SUMIF(L:L,$L295,M:M)</f>
        <v>22.800000000000004</v>
      </c>
      <c r="J295" s="208">
        <f t="shared" ref="J295:J303" si="47">TRUNC(H295*I295,2)</f>
        <v>22.8</v>
      </c>
      <c r="L295" s="189">
        <f t="shared" si="41"/>
        <v>28</v>
      </c>
      <c r="M295" s="156" t="str">
        <f t="shared" si="42"/>
        <v/>
      </c>
      <c r="N295" s="157">
        <f t="shared" si="43"/>
        <v>22.8</v>
      </c>
      <c r="O295" s="157" t="str">
        <f t="shared" si="44"/>
        <v/>
      </c>
      <c r="P295" s="158" t="str">
        <f t="shared" si="45"/>
        <v xml:space="preserve"> 05.02 </v>
      </c>
      <c r="Q295" s="157">
        <f>IF(P295&lt;&gt;"",SUMIF(L295:L306,L295,N295:N306),"")</f>
        <v>22.8</v>
      </c>
      <c r="R295" s="157">
        <f>IF(P295&lt;&gt;"",SUMIF(L295:L306,L295,O295:O306),"")</f>
        <v>22.800000000000004</v>
      </c>
    </row>
    <row r="296" spans="1:18" ht="25.5" x14ac:dyDescent="0.2">
      <c r="A296" s="244" t="s">
        <v>20</v>
      </c>
      <c r="B296" s="212" t="s">
        <v>284</v>
      </c>
      <c r="C296" s="244" t="s">
        <v>8</v>
      </c>
      <c r="D296" s="244" t="s">
        <v>285</v>
      </c>
      <c r="E296" s="283" t="s">
        <v>26</v>
      </c>
      <c r="F296" s="283"/>
      <c r="G296" s="211" t="s">
        <v>27</v>
      </c>
      <c r="H296" s="214">
        <v>1</v>
      </c>
      <c r="I296" s="213">
        <f>SUMIFS('ANALÍTICA AUXILIARES'!J:J,'ANALÍTICA AUXILIARES'!A:A,"Composição",'ANALÍTICA AUXILIARES'!B:B,$B296)</f>
        <v>0.37</v>
      </c>
      <c r="J296" s="213">
        <f t="shared" si="47"/>
        <v>0.37</v>
      </c>
      <c r="L296" s="248">
        <f t="shared" ref="L296:L306" si="48">IF(AND(A297&lt;&gt;"",A296=""),L295+1,L295)</f>
        <v>28</v>
      </c>
      <c r="M296" s="156">
        <f t="shared" ref="M296:M306" si="49">IF(OR(A296="Insumo",A296="Composição Auxiliar"),J296,"")</f>
        <v>0.37</v>
      </c>
      <c r="N296" s="157" t="str">
        <f t="shared" ref="N296:N306" si="50">IF(ISNUMBER(SEARCH("COM ENCARGOS COMPLEMENTARES",D296)),J296,"")</f>
        <v/>
      </c>
      <c r="O296" s="157">
        <f t="shared" ref="O296:O306" si="51">IF(N296&lt;&gt;"","",M296)</f>
        <v>0.37</v>
      </c>
      <c r="P296" s="158" t="str">
        <f t="shared" ref="P296:P306" si="52">IF(A296="Composição",A295,"")</f>
        <v/>
      </c>
      <c r="Q296" s="157" t="str">
        <f t="shared" ref="Q296:Q306" si="53">IF(P296&lt;&gt;"",SUMIF(L296:L307,L296,N296:N307),"")</f>
        <v/>
      </c>
      <c r="R296" s="157" t="str">
        <f t="shared" ref="R296:R306" si="54">IF(P296&lt;&gt;"",SUMIF(L296:L307,L296,O296:O307),"")</f>
        <v/>
      </c>
    </row>
    <row r="297" spans="1:18" ht="38.25" customHeight="1" x14ac:dyDescent="0.2">
      <c r="A297" s="243" t="s">
        <v>30</v>
      </c>
      <c r="B297" s="216" t="s">
        <v>87</v>
      </c>
      <c r="C297" s="243" t="str">
        <f>VLOOKUP(B297,INSUMOS!$A:$I,2,FALSE)</f>
        <v>SINAPI</v>
      </c>
      <c r="D297" s="243" t="str">
        <f>VLOOKUP(B297,INSUMOS!$A:$I,3,FALSE)</f>
        <v>ALIMENTACAO - HORISTA (COLETADO CAIXA)</v>
      </c>
      <c r="E297" s="281" t="str">
        <f>VLOOKUP(B297,INSUMOS!$A:$I,4,FALSE)</f>
        <v>Outros</v>
      </c>
      <c r="F297" s="281"/>
      <c r="G297" s="215" t="str">
        <f>VLOOKUP(B297,INSUMOS!$A:$I,5,FALSE)</f>
        <v>H</v>
      </c>
      <c r="H297" s="218">
        <v>1</v>
      </c>
      <c r="I297" s="217">
        <f>VLOOKUP(B297,INSUMOS!$A:$I,8,FALSE)</f>
        <v>2.1800000000000002</v>
      </c>
      <c r="J297" s="217">
        <f t="shared" si="47"/>
        <v>2.1800000000000002</v>
      </c>
      <c r="L297" s="248">
        <f t="shared" si="48"/>
        <v>28</v>
      </c>
      <c r="M297" s="156">
        <f t="shared" si="49"/>
        <v>2.1800000000000002</v>
      </c>
      <c r="N297" s="157" t="str">
        <f t="shared" si="50"/>
        <v/>
      </c>
      <c r="O297" s="157">
        <f t="shared" si="51"/>
        <v>2.1800000000000002</v>
      </c>
      <c r="P297" s="158" t="str">
        <f t="shared" si="52"/>
        <v/>
      </c>
      <c r="Q297" s="157" t="str">
        <f t="shared" si="53"/>
        <v/>
      </c>
      <c r="R297" s="157" t="str">
        <f t="shared" si="54"/>
        <v/>
      </c>
    </row>
    <row r="298" spans="1:18" x14ac:dyDescent="0.2">
      <c r="A298" s="243" t="s">
        <v>30</v>
      </c>
      <c r="B298" s="216" t="s">
        <v>282</v>
      </c>
      <c r="C298" s="243" t="str">
        <f>VLOOKUP(B298,INSUMOS!$A:$I,2,FALSE)</f>
        <v>SINAPI</v>
      </c>
      <c r="D298" s="243" t="str">
        <f>VLOOKUP(B298,INSUMOS!$A:$I,3,FALSE)</f>
        <v>ELETROTECNICO</v>
      </c>
      <c r="E298" s="281" t="str">
        <f>VLOOKUP(B298,INSUMOS!$A:$I,4,FALSE)</f>
        <v>Mão de Obra</v>
      </c>
      <c r="F298" s="281"/>
      <c r="G298" s="215" t="str">
        <f>VLOOKUP(B298,INSUMOS!$A:$I,5,FALSE)</f>
        <v>H</v>
      </c>
      <c r="H298" s="218">
        <v>1</v>
      </c>
      <c r="I298" s="217">
        <f>VLOOKUP(B298,INSUMOS!$A:$I,8,FALSE)</f>
        <v>17.43</v>
      </c>
      <c r="J298" s="217">
        <f t="shared" si="47"/>
        <v>17.43</v>
      </c>
      <c r="L298" s="248">
        <f t="shared" si="48"/>
        <v>28</v>
      </c>
      <c r="M298" s="156">
        <f t="shared" si="49"/>
        <v>17.43</v>
      </c>
      <c r="N298" s="157" t="str">
        <f t="shared" si="50"/>
        <v/>
      </c>
      <c r="O298" s="157">
        <f t="shared" si="51"/>
        <v>17.43</v>
      </c>
      <c r="P298" s="158" t="str">
        <f t="shared" si="52"/>
        <v/>
      </c>
      <c r="Q298" s="157" t="str">
        <f t="shared" si="53"/>
        <v/>
      </c>
      <c r="R298" s="157" t="str">
        <f t="shared" si="54"/>
        <v/>
      </c>
    </row>
    <row r="299" spans="1:18" ht="25.5" customHeight="1" x14ac:dyDescent="0.2">
      <c r="A299" s="243" t="s">
        <v>30</v>
      </c>
      <c r="B299" s="216" t="s">
        <v>201</v>
      </c>
      <c r="C299" s="243" t="str">
        <f>VLOOKUP(B299,INSUMOS!$A:$I,2,FALSE)</f>
        <v>SINAPI</v>
      </c>
      <c r="D299" s="243" t="str">
        <f>VLOOKUP(B299,INSUMOS!$A:$I,3,FALSE)</f>
        <v>EPI - FAMILIA ELETRICISTA - HORISTA (ENCARGOS COMPLEMENTARES - COLETADO CAIXA)</v>
      </c>
      <c r="E299" s="281" t="str">
        <f>VLOOKUP(B299,INSUMOS!$A:$I,4,FALSE)</f>
        <v>Equipamento</v>
      </c>
      <c r="F299" s="281"/>
      <c r="G299" s="215" t="str">
        <f>VLOOKUP(B299,INSUMOS!$A:$I,5,FALSE)</f>
        <v>H</v>
      </c>
      <c r="H299" s="218">
        <v>1</v>
      </c>
      <c r="I299" s="217">
        <f>VLOOKUP(B299,INSUMOS!$A:$I,8,FALSE)</f>
        <v>0.93</v>
      </c>
      <c r="J299" s="217">
        <f t="shared" si="47"/>
        <v>0.93</v>
      </c>
      <c r="L299" s="248">
        <f t="shared" si="48"/>
        <v>28</v>
      </c>
      <c r="M299" s="156">
        <f t="shared" si="49"/>
        <v>0.93</v>
      </c>
      <c r="N299" s="157" t="str">
        <f t="shared" si="50"/>
        <v/>
      </c>
      <c r="O299" s="157">
        <f t="shared" si="51"/>
        <v>0.93</v>
      </c>
      <c r="P299" s="158" t="str">
        <f t="shared" si="52"/>
        <v/>
      </c>
      <c r="Q299" s="157" t="str">
        <f t="shared" si="53"/>
        <v/>
      </c>
      <c r="R299" s="157" t="str">
        <f t="shared" si="54"/>
        <v/>
      </c>
    </row>
    <row r="300" spans="1:18" x14ac:dyDescent="0.2">
      <c r="A300" s="243" t="s">
        <v>30</v>
      </c>
      <c r="B300" s="216" t="s">
        <v>89</v>
      </c>
      <c r="C300" s="243" t="str">
        <f>VLOOKUP(B300,INSUMOS!$A:$I,2,FALSE)</f>
        <v>SINAPI</v>
      </c>
      <c r="D300" s="243" t="str">
        <f>VLOOKUP(B300,INSUMOS!$A:$I,3,FALSE)</f>
        <v>EXAMES - HORISTA (COLETADO CAIXA)</v>
      </c>
      <c r="E300" s="281" t="str">
        <f>VLOOKUP(B300,INSUMOS!$A:$I,4,FALSE)</f>
        <v>Outros</v>
      </c>
      <c r="F300" s="281"/>
      <c r="G300" s="215" t="str">
        <f>VLOOKUP(B300,INSUMOS!$A:$I,5,FALSE)</f>
        <v>H</v>
      </c>
      <c r="H300" s="218">
        <v>1</v>
      </c>
      <c r="I300" s="217">
        <f>VLOOKUP(B300,INSUMOS!$A:$I,8,FALSE)</f>
        <v>0.35</v>
      </c>
      <c r="J300" s="217">
        <f t="shared" si="47"/>
        <v>0.35</v>
      </c>
      <c r="L300" s="248">
        <f t="shared" si="48"/>
        <v>28</v>
      </c>
      <c r="M300" s="156">
        <f t="shared" si="49"/>
        <v>0.35</v>
      </c>
      <c r="N300" s="157" t="str">
        <f t="shared" si="50"/>
        <v/>
      </c>
      <c r="O300" s="157">
        <f t="shared" si="51"/>
        <v>0.35</v>
      </c>
      <c r="P300" s="158" t="str">
        <f t="shared" si="52"/>
        <v/>
      </c>
      <c r="Q300" s="157" t="str">
        <f t="shared" si="53"/>
        <v/>
      </c>
      <c r="R300" s="157" t="str">
        <f t="shared" si="54"/>
        <v/>
      </c>
    </row>
    <row r="301" spans="1:18" ht="25.5" x14ac:dyDescent="0.2">
      <c r="A301" s="243" t="s">
        <v>30</v>
      </c>
      <c r="B301" s="216" t="s">
        <v>205</v>
      </c>
      <c r="C301" s="243" t="str">
        <f>VLOOKUP(B301,INSUMOS!$A:$I,2,FALSE)</f>
        <v>SINAPI</v>
      </c>
      <c r="D301" s="243" t="str">
        <f>VLOOKUP(B301,INSUMOS!$A:$I,3,FALSE)</f>
        <v>FERRAMENTAS - FAMILIA ELETRICISTA - HORISTA (ENCARGOS COMPLEMENTARES - COLETADO CAIXA)</v>
      </c>
      <c r="E301" s="281" t="str">
        <f>VLOOKUP(B301,INSUMOS!$A:$I,4,FALSE)</f>
        <v>Equipamento</v>
      </c>
      <c r="F301" s="281"/>
      <c r="G301" s="215" t="str">
        <f>VLOOKUP(B301,INSUMOS!$A:$I,5,FALSE)</f>
        <v>H</v>
      </c>
      <c r="H301" s="218">
        <v>1</v>
      </c>
      <c r="I301" s="217">
        <f>VLOOKUP(B301,INSUMOS!$A:$I,8,FALSE)</f>
        <v>0.55000000000000004</v>
      </c>
      <c r="J301" s="217">
        <f t="shared" si="47"/>
        <v>0.55000000000000004</v>
      </c>
      <c r="L301" s="248">
        <f t="shared" si="48"/>
        <v>28</v>
      </c>
      <c r="M301" s="156">
        <f t="shared" si="49"/>
        <v>0.55000000000000004</v>
      </c>
      <c r="N301" s="157" t="str">
        <f t="shared" si="50"/>
        <v/>
      </c>
      <c r="O301" s="157">
        <f t="shared" si="51"/>
        <v>0.55000000000000004</v>
      </c>
      <c r="P301" s="158" t="str">
        <f t="shared" si="52"/>
        <v/>
      </c>
      <c r="Q301" s="157" t="str">
        <f t="shared" si="53"/>
        <v/>
      </c>
      <c r="R301" s="157" t="str">
        <f t="shared" si="54"/>
        <v/>
      </c>
    </row>
    <row r="302" spans="1:18" ht="14.25" customHeight="1" x14ac:dyDescent="0.2">
      <c r="A302" s="243" t="s">
        <v>30</v>
      </c>
      <c r="B302" s="216" t="s">
        <v>91</v>
      </c>
      <c r="C302" s="243" t="str">
        <f>VLOOKUP(B302,INSUMOS!$A:$I,2,FALSE)</f>
        <v>SINAPI</v>
      </c>
      <c r="D302" s="243" t="str">
        <f>VLOOKUP(B302,INSUMOS!$A:$I,3,FALSE)</f>
        <v>SEGURO - HORISTA (COLETADO CAIXA)</v>
      </c>
      <c r="E302" s="281" t="str">
        <f>VLOOKUP(B302,INSUMOS!$A:$I,4,FALSE)</f>
        <v>Taxas</v>
      </c>
      <c r="F302" s="281"/>
      <c r="G302" s="215" t="str">
        <f>VLOOKUP(B302,INSUMOS!$A:$I,5,FALSE)</f>
        <v>H</v>
      </c>
      <c r="H302" s="218">
        <v>1</v>
      </c>
      <c r="I302" s="217">
        <f>VLOOKUP(B302,INSUMOS!$A:$I,8,FALSE)</f>
        <v>7.0000000000000007E-2</v>
      </c>
      <c r="J302" s="217">
        <f t="shared" si="47"/>
        <v>7.0000000000000007E-2</v>
      </c>
      <c r="L302" s="248">
        <f t="shared" si="48"/>
        <v>28</v>
      </c>
      <c r="M302" s="156">
        <f t="shared" si="49"/>
        <v>7.0000000000000007E-2</v>
      </c>
      <c r="N302" s="157" t="str">
        <f t="shared" si="50"/>
        <v/>
      </c>
      <c r="O302" s="157">
        <f t="shared" si="51"/>
        <v>7.0000000000000007E-2</v>
      </c>
      <c r="P302" s="158" t="str">
        <f t="shared" si="52"/>
        <v/>
      </c>
      <c r="Q302" s="157" t="str">
        <f t="shared" si="53"/>
        <v/>
      </c>
      <c r="R302" s="157" t="str">
        <f t="shared" si="54"/>
        <v/>
      </c>
    </row>
    <row r="303" spans="1:18" ht="14.25" customHeight="1" x14ac:dyDescent="0.2">
      <c r="A303" s="243" t="s">
        <v>30</v>
      </c>
      <c r="B303" s="216" t="s">
        <v>92</v>
      </c>
      <c r="C303" s="243" t="str">
        <f>VLOOKUP(B303,INSUMOS!$A:$I,2,FALSE)</f>
        <v>SINAPI</v>
      </c>
      <c r="D303" s="243" t="str">
        <f>VLOOKUP(B303,INSUMOS!$A:$I,3,FALSE)</f>
        <v>TRANSPORTE - HORISTA (COLETADO CAIXA)</v>
      </c>
      <c r="E303" s="281" t="str">
        <f>VLOOKUP(B303,INSUMOS!$A:$I,4,FALSE)</f>
        <v>Serviços</v>
      </c>
      <c r="F303" s="281"/>
      <c r="G303" s="215" t="str">
        <f>VLOOKUP(B303,INSUMOS!$A:$I,5,FALSE)</f>
        <v>H</v>
      </c>
      <c r="H303" s="218">
        <v>1</v>
      </c>
      <c r="I303" s="217">
        <f>VLOOKUP(B303,INSUMOS!$A:$I,8,FALSE)</f>
        <v>0.92</v>
      </c>
      <c r="J303" s="217">
        <f t="shared" si="47"/>
        <v>0.92</v>
      </c>
      <c r="L303" s="248">
        <f t="shared" si="48"/>
        <v>28</v>
      </c>
      <c r="M303" s="156">
        <f t="shared" si="49"/>
        <v>0.92</v>
      </c>
      <c r="N303" s="157" t="str">
        <f t="shared" si="50"/>
        <v/>
      </c>
      <c r="O303" s="157">
        <f t="shared" si="51"/>
        <v>0.92</v>
      </c>
      <c r="P303" s="158" t="str">
        <f t="shared" si="52"/>
        <v/>
      </c>
      <c r="Q303" s="157" t="str">
        <f t="shared" si="53"/>
        <v/>
      </c>
      <c r="R303" s="157" t="str">
        <f t="shared" si="54"/>
        <v/>
      </c>
    </row>
    <row r="304" spans="1:18" x14ac:dyDescent="0.2">
      <c r="A304" s="246"/>
      <c r="B304" s="246"/>
      <c r="C304" s="246"/>
      <c r="D304" s="246"/>
      <c r="E304" s="246"/>
      <c r="F304" s="222"/>
      <c r="G304" s="246"/>
      <c r="H304" s="222"/>
      <c r="I304" s="246"/>
      <c r="J304" s="222"/>
      <c r="L304" s="248">
        <f t="shared" si="48"/>
        <v>28</v>
      </c>
      <c r="M304" s="156" t="str">
        <f t="shared" si="49"/>
        <v/>
      </c>
      <c r="N304" s="157" t="str">
        <f t="shared" si="50"/>
        <v/>
      </c>
      <c r="O304" s="157" t="str">
        <f t="shared" si="51"/>
        <v/>
      </c>
      <c r="P304" s="158" t="str">
        <f t="shared" si="52"/>
        <v/>
      </c>
      <c r="Q304" s="157" t="str">
        <f t="shared" si="53"/>
        <v/>
      </c>
      <c r="R304" s="157" t="str">
        <f t="shared" si="54"/>
        <v/>
      </c>
    </row>
    <row r="305" spans="1:18" ht="14.25" customHeight="1" x14ac:dyDescent="0.2">
      <c r="A305" s="246"/>
      <c r="B305" s="246"/>
      <c r="C305" s="246"/>
      <c r="D305" s="246"/>
      <c r="E305" s="246"/>
      <c r="F305" s="222"/>
      <c r="G305" s="246"/>
      <c r="H305" s="282" t="s">
        <v>39</v>
      </c>
      <c r="I305" s="282"/>
      <c r="J305" s="222">
        <f>TRUNC(SUMIF(L:L,$L305,M:M)*(1+$J$9),2)</f>
        <v>27.86</v>
      </c>
      <c r="L305" s="248">
        <f t="shared" si="48"/>
        <v>28</v>
      </c>
      <c r="M305" s="156" t="str">
        <f t="shared" si="49"/>
        <v/>
      </c>
      <c r="N305" s="157" t="str">
        <f t="shared" si="50"/>
        <v/>
      </c>
      <c r="O305" s="157" t="str">
        <f t="shared" si="51"/>
        <v/>
      </c>
      <c r="P305" s="158" t="str">
        <f t="shared" si="52"/>
        <v/>
      </c>
      <c r="Q305" s="157" t="str">
        <f t="shared" si="53"/>
        <v/>
      </c>
      <c r="R305" s="157" t="str">
        <f t="shared" si="54"/>
        <v/>
      </c>
    </row>
    <row r="306" spans="1:18" x14ac:dyDescent="0.2">
      <c r="A306" s="219"/>
      <c r="B306" s="219"/>
      <c r="C306" s="219"/>
      <c r="D306" s="219"/>
      <c r="E306" s="219"/>
      <c r="F306" s="219"/>
      <c r="G306" s="219" t="s">
        <v>40</v>
      </c>
      <c r="H306" s="221">
        <v>240</v>
      </c>
      <c r="I306" s="219" t="s">
        <v>41</v>
      </c>
      <c r="J306" s="220">
        <f>TRUNC(J305*H306,2)</f>
        <v>6686.4</v>
      </c>
      <c r="L306" s="248">
        <f t="shared" si="48"/>
        <v>28</v>
      </c>
      <c r="M306" s="156" t="str">
        <f t="shared" si="49"/>
        <v/>
      </c>
      <c r="N306" s="157" t="str">
        <f t="shared" si="50"/>
        <v/>
      </c>
      <c r="O306" s="157" t="str">
        <f t="shared" si="51"/>
        <v/>
      </c>
      <c r="P306" s="158" t="str">
        <f t="shared" si="52"/>
        <v/>
      </c>
      <c r="Q306" s="157" t="str">
        <f t="shared" si="53"/>
        <v/>
      </c>
      <c r="R306" s="157" t="str">
        <f t="shared" si="54"/>
        <v/>
      </c>
    </row>
  </sheetData>
  <sheetProtection algorithmName="SHA-512" hashValue="EskRdDdgP6SPqkexndBosppZn/8pHeLlw54YE4InotSqcdGs/fmI7qxNyNvcWqK30Am+xLOzq1We9EpFfx+gqg==" saltValue="eaevg2cXBT+O6A0YOt9V0A==" spinCount="100000" sheet="1" objects="1" scenarios="1"/>
  <mergeCells count="238">
    <mergeCell ref="E299:F299"/>
    <mergeCell ref="E300:F300"/>
    <mergeCell ref="E301:F301"/>
    <mergeCell ref="H305:I305"/>
    <mergeCell ref="E10:I10"/>
    <mergeCell ref="E275:F275"/>
    <mergeCell ref="H278:I278"/>
    <mergeCell ref="F281:G281"/>
    <mergeCell ref="E285:F285"/>
    <mergeCell ref="E286:F286"/>
    <mergeCell ref="E287:F287"/>
    <mergeCell ref="E288:F288"/>
    <mergeCell ref="H291:I291"/>
    <mergeCell ref="E298:F298"/>
    <mergeCell ref="E259:F259"/>
    <mergeCell ref="E260:F260"/>
    <mergeCell ref="E261:F261"/>
    <mergeCell ref="E262:F262"/>
    <mergeCell ref="H264:I264"/>
    <mergeCell ref="F267:G267"/>
    <mergeCell ref="E272:F272"/>
    <mergeCell ref="E273:F273"/>
    <mergeCell ref="E274:F274"/>
    <mergeCell ref="E240:F240"/>
    <mergeCell ref="H255:I255"/>
    <mergeCell ref="H207:I207"/>
    <mergeCell ref="E210:F210"/>
    <mergeCell ref="H217:I217"/>
    <mergeCell ref="E220:F220"/>
    <mergeCell ref="E221:F221"/>
    <mergeCell ref="E222:F222"/>
    <mergeCell ref="H226:I226"/>
    <mergeCell ref="E229:F229"/>
    <mergeCell ref="E230:F230"/>
    <mergeCell ref="E144:F144"/>
    <mergeCell ref="H147:I147"/>
    <mergeCell ref="E150:F150"/>
    <mergeCell ref="E151:F151"/>
    <mergeCell ref="E152:F152"/>
    <mergeCell ref="E153:F153"/>
    <mergeCell ref="E241:F241"/>
    <mergeCell ref="E242:F242"/>
    <mergeCell ref="H245:I245"/>
    <mergeCell ref="E176:F176"/>
    <mergeCell ref="E183:F183"/>
    <mergeCell ref="E120:F120"/>
    <mergeCell ref="E124:F124"/>
    <mergeCell ref="E125:F125"/>
    <mergeCell ref="E126:F126"/>
    <mergeCell ref="H128:I128"/>
    <mergeCell ref="E131:F131"/>
    <mergeCell ref="E141:F141"/>
    <mergeCell ref="E142:F142"/>
    <mergeCell ref="E143:F143"/>
    <mergeCell ref="E103:F103"/>
    <mergeCell ref="E104:F104"/>
    <mergeCell ref="E105:F105"/>
    <mergeCell ref="H107:I107"/>
    <mergeCell ref="E110:F110"/>
    <mergeCell ref="E111:F111"/>
    <mergeCell ref="E112:F112"/>
    <mergeCell ref="H116:I116"/>
    <mergeCell ref="E119:F119"/>
    <mergeCell ref="E25:F25"/>
    <mergeCell ref="H27:I27"/>
    <mergeCell ref="F30:G30"/>
    <mergeCell ref="E32:F32"/>
    <mergeCell ref="E33:F33"/>
    <mergeCell ref="H35:I35"/>
    <mergeCell ref="E39:F39"/>
    <mergeCell ref="E40:F40"/>
    <mergeCell ref="E31:F31"/>
    <mergeCell ref="E41:F41"/>
    <mergeCell ref="E42:F42"/>
    <mergeCell ref="E43:F43"/>
    <mergeCell ref="H46:I46"/>
    <mergeCell ref="F49:G49"/>
    <mergeCell ref="E50:F50"/>
    <mergeCell ref="E51:F51"/>
    <mergeCell ref="H55:I55"/>
    <mergeCell ref="F58:G58"/>
    <mergeCell ref="E44:F44"/>
    <mergeCell ref="E52:F52"/>
    <mergeCell ref="E53:F53"/>
    <mergeCell ref="E59:F59"/>
    <mergeCell ref="E60:F60"/>
    <mergeCell ref="H65:I65"/>
    <mergeCell ref="F68:G68"/>
    <mergeCell ref="H169:I169"/>
    <mergeCell ref="E172:F172"/>
    <mergeCell ref="E173:F173"/>
    <mergeCell ref="E174:F174"/>
    <mergeCell ref="E175:F175"/>
    <mergeCell ref="E154:F154"/>
    <mergeCell ref="E155:F155"/>
    <mergeCell ref="E156:F156"/>
    <mergeCell ref="E166:F166"/>
    <mergeCell ref="E167:F167"/>
    <mergeCell ref="H94:I94"/>
    <mergeCell ref="E99:F99"/>
    <mergeCell ref="E100:F100"/>
    <mergeCell ref="E101:F101"/>
    <mergeCell ref="E62:F62"/>
    <mergeCell ref="E63:F63"/>
    <mergeCell ref="E71:F71"/>
    <mergeCell ref="E88:F88"/>
    <mergeCell ref="E89:F89"/>
    <mergeCell ref="E61:F61"/>
    <mergeCell ref="W1:X1"/>
    <mergeCell ref="W3:X3"/>
    <mergeCell ref="W5:X5"/>
    <mergeCell ref="X17:Y17"/>
    <mergeCell ref="X18:Y18"/>
    <mergeCell ref="X19:Y19"/>
    <mergeCell ref="E78:F78"/>
    <mergeCell ref="E79:F79"/>
    <mergeCell ref="E181:F181"/>
    <mergeCell ref="E165:F165"/>
    <mergeCell ref="A1:J1"/>
    <mergeCell ref="A2:J2"/>
    <mergeCell ref="A3:J3"/>
    <mergeCell ref="A4:J4"/>
    <mergeCell ref="P1:Q1"/>
    <mergeCell ref="P3:Q3"/>
    <mergeCell ref="P5:Q5"/>
    <mergeCell ref="E38:F38"/>
    <mergeCell ref="E72:F72"/>
    <mergeCell ref="X16:Y16"/>
    <mergeCell ref="A12:J12"/>
    <mergeCell ref="A14:J14"/>
    <mergeCell ref="U18:V18"/>
    <mergeCell ref="A5:J5"/>
    <mergeCell ref="A6:J6"/>
    <mergeCell ref="E8:I8"/>
    <mergeCell ref="E9:I9"/>
    <mergeCell ref="E11:I11"/>
    <mergeCell ref="E13:F13"/>
    <mergeCell ref="X13:Y13"/>
    <mergeCell ref="X14:Y14"/>
    <mergeCell ref="X15:Y15"/>
    <mergeCell ref="E182:F182"/>
    <mergeCell ref="E158:F158"/>
    <mergeCell ref="H160:I160"/>
    <mergeCell ref="E145:F145"/>
    <mergeCell ref="E157:F157"/>
    <mergeCell ref="E132:F132"/>
    <mergeCell ref="E133:F133"/>
    <mergeCell ref="E134:F134"/>
    <mergeCell ref="E135:F135"/>
    <mergeCell ref="H137:I137"/>
    <mergeCell ref="F140:G140"/>
    <mergeCell ref="E80:F80"/>
    <mergeCell ref="E121:F121"/>
    <mergeCell ref="E122:F122"/>
    <mergeCell ref="E123:F123"/>
    <mergeCell ref="H85:I85"/>
    <mergeCell ref="X20:Y20"/>
    <mergeCell ref="U22:V22"/>
    <mergeCell ref="E284:F284"/>
    <mergeCell ref="E268:F268"/>
    <mergeCell ref="E269:F269"/>
    <mergeCell ref="E276:F276"/>
    <mergeCell ref="E289:F289"/>
    <mergeCell ref="E243:F243"/>
    <mergeCell ref="E239:F239"/>
    <mergeCell ref="E211:F211"/>
    <mergeCell ref="E212:F212"/>
    <mergeCell ref="E213:F213"/>
    <mergeCell ref="E214:F214"/>
    <mergeCell ref="E215:F215"/>
    <mergeCell ref="E224:F224"/>
    <mergeCell ref="E233:F233"/>
    <mergeCell ref="E234:F234"/>
    <mergeCell ref="E231:F231"/>
    <mergeCell ref="E232:F232"/>
    <mergeCell ref="H236:I236"/>
    <mergeCell ref="E163:F163"/>
    <mergeCell ref="E164:F164"/>
    <mergeCell ref="E113:F113"/>
    <mergeCell ref="E114:F114"/>
    <mergeCell ref="E294:F294"/>
    <mergeCell ref="E295:F295"/>
    <mergeCell ref="E296:F296"/>
    <mergeCell ref="E297:F297"/>
    <mergeCell ref="E270:F270"/>
    <mergeCell ref="E271:F271"/>
    <mergeCell ref="E282:F282"/>
    <mergeCell ref="E283:F283"/>
    <mergeCell ref="E248:F248"/>
    <mergeCell ref="E253:F253"/>
    <mergeCell ref="E258:F258"/>
    <mergeCell ref="E249:F249"/>
    <mergeCell ref="E250:F250"/>
    <mergeCell ref="E251:F251"/>
    <mergeCell ref="E252:F252"/>
    <mergeCell ref="E69:F69"/>
    <mergeCell ref="E70:F70"/>
    <mergeCell ref="E81:F81"/>
    <mergeCell ref="E82:F82"/>
    <mergeCell ref="E83:F83"/>
    <mergeCell ref="E73:F73"/>
    <mergeCell ref="F97:G97"/>
    <mergeCell ref="F98:G98"/>
    <mergeCell ref="E102:F102"/>
    <mergeCell ref="F15:G15"/>
    <mergeCell ref="E17:F17"/>
    <mergeCell ref="E18:F18"/>
    <mergeCell ref="E19:F19"/>
    <mergeCell ref="E20:F20"/>
    <mergeCell ref="E21:F21"/>
    <mergeCell ref="E22:F22"/>
    <mergeCell ref="E23:F23"/>
    <mergeCell ref="E24:F24"/>
    <mergeCell ref="F16:G16"/>
    <mergeCell ref="E302:F302"/>
    <mergeCell ref="E303:F303"/>
    <mergeCell ref="H75:I75"/>
    <mergeCell ref="H178:I178"/>
    <mergeCell ref="E184:F184"/>
    <mergeCell ref="E192:F192"/>
    <mergeCell ref="E193:F193"/>
    <mergeCell ref="E194:F194"/>
    <mergeCell ref="E223:F223"/>
    <mergeCell ref="E204:F204"/>
    <mergeCell ref="E205:F205"/>
    <mergeCell ref="E201:F201"/>
    <mergeCell ref="E202:F202"/>
    <mergeCell ref="E203:F203"/>
    <mergeCell ref="E185:F185"/>
    <mergeCell ref="E186:F186"/>
    <mergeCell ref="H188:I188"/>
    <mergeCell ref="F191:G191"/>
    <mergeCell ref="E195:F195"/>
    <mergeCell ref="E196:F196"/>
    <mergeCell ref="H198:I198"/>
    <mergeCell ref="E90:F90"/>
    <mergeCell ref="E91:F91"/>
    <mergeCell ref="E92:F92"/>
  </mergeCells>
  <conditionalFormatting sqref="P1">
    <cfRule type="dataBar" priority="6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{68A1D343-EC02-4302-895D-EC697ECCBC22}</x14:id>
        </ext>
      </extLst>
    </cfRule>
  </conditionalFormatting>
  <conditionalFormatting sqref="P3">
    <cfRule type="dataBar" priority="5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{4C9BEF6B-5C48-4398-A273-5CCC67D267B8}</x14:id>
        </ext>
      </extLst>
    </cfRule>
  </conditionalFormatting>
  <conditionalFormatting sqref="P5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{834526E5-486F-4F49-A08B-41B95D4AACFD}</x14:id>
        </ext>
      </extLst>
    </cfRule>
  </conditionalFormatting>
  <conditionalFormatting sqref="W1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{7C3F91B8-4100-44B1-810F-A6194C5C5DC0}</x14:id>
        </ext>
      </extLst>
    </cfRule>
  </conditionalFormatting>
  <conditionalFormatting sqref="W3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{A9D10419-B3B7-48E3-A141-261287D97260}</x14:id>
        </ext>
      </extLst>
    </cfRule>
  </conditionalFormatting>
  <conditionalFormatting sqref="W5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{B14B6EA7-9E1F-4B06-8C98-DA373A79E4B6}</x14:id>
        </ext>
      </extLst>
    </cfRule>
  </conditionalFormatting>
  <pageMargins left="0.78740157480314965" right="0.78740157480314965" top="0.78740157480314965" bottom="0.78740157480314965" header="0.51181102362204722" footer="0.51181102362204722"/>
  <pageSetup paperSize="9" scale="46" fitToHeight="0" orientation="portrait" r:id="rId1"/>
  <headerFooter>
    <oddHeader xml:space="preserve">&amp;L </oddHeader>
    <oddFooter>&amp;L &amp;R&amp;P de &amp;N</oddFooter>
  </headerFooter>
  <ignoredErrors>
    <ignoredError sqref="U16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68A1D343-EC02-4302-895D-EC697ECCBC22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P1</xm:sqref>
        </x14:conditionalFormatting>
        <x14:conditionalFormatting xmlns:xm="http://schemas.microsoft.com/office/excel/2006/main">
          <x14:cfRule type="dataBar" id="{4C9BEF6B-5C48-4398-A273-5CCC67D267B8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P3</xm:sqref>
        </x14:conditionalFormatting>
        <x14:conditionalFormatting xmlns:xm="http://schemas.microsoft.com/office/excel/2006/main">
          <x14:cfRule type="dataBar" id="{834526E5-486F-4F49-A08B-41B95D4AACFD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P5</xm:sqref>
        </x14:conditionalFormatting>
        <x14:conditionalFormatting xmlns:xm="http://schemas.microsoft.com/office/excel/2006/main">
          <x14:cfRule type="dataBar" id="{7C3F91B8-4100-44B1-810F-A6194C5C5DC0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W1</xm:sqref>
        </x14:conditionalFormatting>
        <x14:conditionalFormatting xmlns:xm="http://schemas.microsoft.com/office/excel/2006/main">
          <x14:cfRule type="dataBar" id="{A9D10419-B3B7-48E3-A141-261287D97260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W3</xm:sqref>
        </x14:conditionalFormatting>
        <x14:conditionalFormatting xmlns:xm="http://schemas.microsoft.com/office/excel/2006/main">
          <x14:cfRule type="dataBar" id="{B14B6EA7-9E1F-4B06-8C98-DA373A79E4B6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W5</xm:sqref>
        </x14:conditionalFormatting>
      </x14:conditionalFormatting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4"/>
  <dimension ref="A1:AJ238"/>
  <sheetViews>
    <sheetView view="pageBreakPreview" zoomScaleNormal="100" zoomScaleSheetLayoutView="100" workbookViewId="0">
      <selection activeCell="K1" sqref="K1:AF1048576"/>
    </sheetView>
  </sheetViews>
  <sheetFormatPr defaultRowHeight="14.25" x14ac:dyDescent="0.2"/>
  <cols>
    <col min="1" max="1" width="10" bestFit="1" customWidth="1"/>
    <col min="2" max="2" width="12" bestFit="1" customWidth="1"/>
    <col min="3" max="3" width="10" bestFit="1" customWidth="1"/>
    <col min="4" max="4" width="60" bestFit="1" customWidth="1"/>
    <col min="5" max="5" width="15" bestFit="1" customWidth="1"/>
    <col min="6" max="7" width="12" bestFit="1" customWidth="1"/>
    <col min="8" max="8" width="12" style="5" bestFit="1" customWidth="1"/>
    <col min="9" max="9" width="12" style="7" bestFit="1" customWidth="1"/>
    <col min="10" max="10" width="14" style="7" bestFit="1" customWidth="1"/>
    <col min="11" max="11" width="9" style="2" hidden="1" customWidth="1"/>
    <col min="12" max="15" width="9" style="144" hidden="1" customWidth="1"/>
    <col min="16" max="16" width="9" style="145" hidden="1" customWidth="1"/>
    <col min="17" max="18" width="9" style="144" hidden="1" customWidth="1"/>
    <col min="19" max="21" width="9" style="146" hidden="1" customWidth="1"/>
    <col min="22" max="29" width="9" style="144" hidden="1" customWidth="1"/>
    <col min="30" max="32" width="0" hidden="1" customWidth="1"/>
  </cols>
  <sheetData>
    <row r="1" spans="1:36" s="6" customFormat="1" ht="15" customHeight="1" x14ac:dyDescent="0.2">
      <c r="A1" s="299"/>
      <c r="B1" s="299"/>
      <c r="C1" s="299"/>
      <c r="D1" s="299"/>
      <c r="E1" s="299"/>
      <c r="F1" s="299"/>
      <c r="G1" s="299"/>
      <c r="H1" s="299"/>
      <c r="I1" s="299"/>
      <c r="J1" s="299"/>
      <c r="K1" s="2"/>
      <c r="L1" s="144"/>
      <c r="M1" s="144"/>
      <c r="N1" s="144"/>
      <c r="O1" s="144"/>
      <c r="P1" s="293"/>
      <c r="Q1" s="293"/>
      <c r="R1" s="144"/>
      <c r="S1" s="146"/>
      <c r="T1" s="146"/>
      <c r="U1" s="146"/>
      <c r="V1" s="144"/>
      <c r="W1" s="293"/>
      <c r="X1" s="293"/>
      <c r="Y1" s="144"/>
      <c r="Z1" s="144"/>
      <c r="AA1" s="144"/>
      <c r="AB1" s="144"/>
      <c r="AC1" s="144"/>
    </row>
    <row r="2" spans="1:36" s="6" customFormat="1" ht="15" customHeight="1" x14ac:dyDescent="0.2">
      <c r="A2" s="300" t="str">
        <f>INSTRUÇÕES!A2</f>
        <v>PROCURADORIA GERAL DA REPÚBLICA</v>
      </c>
      <c r="B2" s="300"/>
      <c r="C2" s="300"/>
      <c r="D2" s="300"/>
      <c r="E2" s="300"/>
      <c r="F2" s="300"/>
      <c r="G2" s="300"/>
      <c r="H2" s="300"/>
      <c r="I2" s="300"/>
      <c r="J2" s="300"/>
      <c r="K2" s="2"/>
      <c r="L2" s="144"/>
      <c r="M2" s="144"/>
      <c r="N2" s="144"/>
      <c r="O2" s="144"/>
      <c r="R2" s="144"/>
      <c r="S2" s="146"/>
      <c r="T2" s="146"/>
      <c r="U2" s="146"/>
      <c r="V2" s="144"/>
      <c r="Y2" s="144"/>
      <c r="Z2" s="144"/>
      <c r="AA2" s="144"/>
      <c r="AB2" s="144"/>
      <c r="AC2" s="144"/>
    </row>
    <row r="3" spans="1:36" s="6" customFormat="1" ht="15" customHeight="1" x14ac:dyDescent="0.2">
      <c r="A3" s="300" t="str">
        <f>INSTRUÇÕES!A3</f>
        <v>SECRETARIA DE ENGENHARIA E ARQUITETURA</v>
      </c>
      <c r="B3" s="300"/>
      <c r="C3" s="300"/>
      <c r="D3" s="300"/>
      <c r="E3" s="300"/>
      <c r="F3" s="300"/>
      <c r="G3" s="300"/>
      <c r="H3" s="300"/>
      <c r="I3" s="300"/>
      <c r="J3" s="300"/>
      <c r="K3" s="2"/>
      <c r="L3" s="144"/>
      <c r="M3" s="144"/>
      <c r="N3" s="144"/>
      <c r="O3" s="144"/>
      <c r="P3" s="293"/>
      <c r="Q3" s="293"/>
      <c r="R3" s="144"/>
      <c r="S3" s="146"/>
      <c r="T3" s="146"/>
      <c r="U3" s="146"/>
      <c r="V3" s="144"/>
      <c r="W3" s="144"/>
      <c r="X3" s="144"/>
      <c r="Y3" s="144"/>
      <c r="Z3" s="144"/>
      <c r="AA3" s="144"/>
      <c r="AB3" s="144"/>
      <c r="AC3" s="144"/>
    </row>
    <row r="4" spans="1:36" s="6" customFormat="1" ht="15" customHeight="1" x14ac:dyDescent="0.2">
      <c r="A4" s="300"/>
      <c r="B4" s="300"/>
      <c r="C4" s="300"/>
      <c r="D4" s="300"/>
      <c r="E4" s="300"/>
      <c r="F4" s="300"/>
      <c r="G4" s="300"/>
      <c r="H4" s="300"/>
      <c r="I4" s="300"/>
      <c r="J4" s="300"/>
      <c r="K4" s="2"/>
      <c r="L4" s="144"/>
      <c r="M4" s="144"/>
      <c r="N4" s="144"/>
      <c r="O4" s="144"/>
      <c r="R4" s="144"/>
      <c r="S4" s="146"/>
      <c r="T4" s="146"/>
      <c r="U4" s="146"/>
      <c r="V4" s="144"/>
      <c r="Y4" s="144"/>
      <c r="Z4" s="144"/>
      <c r="AA4" s="144"/>
      <c r="AB4" s="144"/>
      <c r="AC4" s="144"/>
    </row>
    <row r="5" spans="1:36" s="6" customFormat="1" ht="15" customHeight="1" x14ac:dyDescent="0.2">
      <c r="A5" s="300" t="str">
        <f>INSTRUÇÕES!A6</f>
        <v>OBRA: INSTALAÇÃO DE MICROGERAÇÃO DISTRIBUIDA NA PRM-SANTAREM / PA / MPF</v>
      </c>
      <c r="B5" s="300"/>
      <c r="C5" s="300"/>
      <c r="D5" s="300"/>
      <c r="E5" s="300"/>
      <c r="F5" s="300"/>
      <c r="G5" s="300"/>
      <c r="H5" s="300"/>
      <c r="I5" s="300"/>
      <c r="J5" s="300"/>
      <c r="K5" s="2"/>
      <c r="L5" s="144"/>
      <c r="M5" s="144"/>
      <c r="N5" s="144"/>
      <c r="O5" s="144"/>
      <c r="P5" s="293"/>
      <c r="Q5" s="293"/>
      <c r="R5" s="144"/>
      <c r="S5" s="146"/>
      <c r="V5" s="144"/>
      <c r="Z5" s="144"/>
      <c r="AA5" s="144"/>
    </row>
    <row r="6" spans="1:36" s="6" customFormat="1" ht="30" customHeight="1" x14ac:dyDescent="0.2">
      <c r="A6" s="301" t="s">
        <v>180</v>
      </c>
      <c r="B6" s="301"/>
      <c r="C6" s="301"/>
      <c r="D6" s="301"/>
      <c r="E6" s="301"/>
      <c r="F6" s="301"/>
      <c r="G6" s="301"/>
      <c r="H6" s="301"/>
      <c r="I6" s="301"/>
      <c r="J6" s="301"/>
      <c r="K6" s="2"/>
      <c r="L6" s="144"/>
      <c r="M6" s="144"/>
      <c r="N6" s="144"/>
      <c r="O6" s="144"/>
      <c r="P6" s="145"/>
      <c r="Q6" s="148"/>
      <c r="R6" s="144"/>
      <c r="S6" s="146"/>
      <c r="T6" s="146"/>
      <c r="U6" s="146"/>
      <c r="V6" s="144"/>
      <c r="W6" s="144"/>
      <c r="X6" s="144"/>
      <c r="Y6" s="144"/>
      <c r="Z6" s="144"/>
      <c r="AA6" s="144"/>
      <c r="AB6" s="144"/>
      <c r="AC6" s="144"/>
    </row>
    <row r="7" spans="1:36" s="6" customFormat="1" ht="15" customHeight="1" x14ac:dyDescent="0.2">
      <c r="A7" s="103"/>
      <c r="B7" s="103"/>
      <c r="C7" s="103"/>
      <c r="D7" s="103"/>
      <c r="E7" s="103"/>
      <c r="F7" s="103"/>
      <c r="G7" s="103"/>
      <c r="H7" s="103"/>
      <c r="I7" s="103"/>
      <c r="J7" s="103"/>
      <c r="K7" s="2"/>
      <c r="L7" s="144"/>
      <c r="M7" s="144"/>
      <c r="N7" s="144"/>
      <c r="O7" s="144"/>
      <c r="P7" s="145"/>
      <c r="Q7" s="144"/>
      <c r="R7" s="144"/>
      <c r="S7" s="147"/>
      <c r="T7" s="147"/>
      <c r="U7" s="147"/>
      <c r="V7" s="148"/>
      <c r="W7" s="148"/>
      <c r="X7" s="148"/>
      <c r="Y7" s="148"/>
      <c r="Z7" s="148"/>
      <c r="AA7" s="148"/>
      <c r="AB7" s="148"/>
      <c r="AC7" s="148"/>
      <c r="AD7" s="86"/>
      <c r="AE7" s="86"/>
      <c r="AF7" s="86"/>
      <c r="AG7" s="86"/>
      <c r="AH7" s="86"/>
      <c r="AI7" s="86"/>
      <c r="AJ7" s="86"/>
    </row>
    <row r="8" spans="1:36" s="6" customFormat="1" ht="15" customHeight="1" x14ac:dyDescent="0.2">
      <c r="A8" s="103"/>
      <c r="B8" s="103"/>
      <c r="C8" s="103"/>
      <c r="D8" s="103"/>
      <c r="E8" s="302" t="str">
        <f>SINTÉTICA!$E$8</f>
        <v>LEIS SOCIAIS DESONERADAS - REFERÊNCIA HORISTA SINAPI: LS</v>
      </c>
      <c r="F8" s="302"/>
      <c r="G8" s="302"/>
      <c r="H8" s="302"/>
      <c r="I8" s="302"/>
      <c r="J8" s="104">
        <f>SINTÉTICA!$J$8</f>
        <v>1.1900999999999999</v>
      </c>
      <c r="K8" s="2"/>
      <c r="L8" s="144"/>
      <c r="M8" s="144"/>
      <c r="N8" s="144"/>
      <c r="O8" s="144"/>
      <c r="P8" s="145"/>
      <c r="Q8" s="144"/>
      <c r="R8" s="144"/>
      <c r="S8" s="147"/>
      <c r="T8" s="147"/>
      <c r="U8" s="147"/>
      <c r="V8" s="148"/>
      <c r="W8" s="148"/>
      <c r="X8" s="148"/>
      <c r="Y8" s="148"/>
      <c r="Z8" s="148"/>
      <c r="AA8" s="148"/>
      <c r="AB8" s="148"/>
      <c r="AC8" s="148"/>
      <c r="AD8" s="86"/>
      <c r="AE8" s="86"/>
      <c r="AF8" s="86"/>
      <c r="AG8" s="86"/>
      <c r="AH8" s="86"/>
      <c r="AI8" s="86"/>
      <c r="AJ8" s="86"/>
    </row>
    <row r="9" spans="1:36" s="6" customFormat="1" ht="15" customHeight="1" x14ac:dyDescent="0.2">
      <c r="A9" s="103"/>
      <c r="B9" s="103"/>
      <c r="C9" s="103"/>
      <c r="D9" s="103"/>
      <c r="E9" s="302" t="str">
        <f>SINTÉTICA!$E$9</f>
        <v>BENEFÍCIOS E DESPESAS INDIRETAS: BDI</v>
      </c>
      <c r="F9" s="302"/>
      <c r="G9" s="302"/>
      <c r="H9" s="302"/>
      <c r="I9" s="302"/>
      <c r="J9" s="105">
        <f>BDI!D23</f>
        <v>0.22226164190779008</v>
      </c>
      <c r="K9" s="2"/>
      <c r="L9" s="144"/>
      <c r="M9" s="144"/>
      <c r="N9" s="144"/>
      <c r="O9" s="144"/>
      <c r="P9" s="145"/>
      <c r="Q9" s="144"/>
      <c r="R9" s="144"/>
      <c r="S9" s="147"/>
      <c r="T9" s="147"/>
      <c r="U9" s="147"/>
      <c r="V9" s="148"/>
      <c r="W9" s="148"/>
      <c r="X9" s="148"/>
      <c r="Y9" s="148"/>
      <c r="Z9" s="148"/>
      <c r="AA9" s="148"/>
      <c r="AB9" s="148"/>
      <c r="AC9" s="148"/>
      <c r="AD9" s="86"/>
      <c r="AE9" s="86"/>
      <c r="AF9" s="86"/>
      <c r="AG9" s="86"/>
      <c r="AH9" s="86"/>
      <c r="AI9" s="86"/>
      <c r="AJ9" s="86"/>
    </row>
    <row r="10" spans="1:36" s="229" customFormat="1" ht="15" customHeight="1" x14ac:dyDescent="0.2">
      <c r="A10" s="103"/>
      <c r="B10" s="103"/>
      <c r="C10" s="103"/>
      <c r="D10" s="103"/>
      <c r="E10" s="302" t="str">
        <f>SINTÉTICA!$E$10</f>
        <v>BENEFÍCIOS E DESPESAS INDIRETAS: BDI (EQUIPAMENTOS)</v>
      </c>
      <c r="F10" s="302"/>
      <c r="G10" s="302"/>
      <c r="H10" s="302"/>
      <c r="I10" s="302"/>
      <c r="J10" s="105">
        <f>BDI!D37</f>
        <v>0.13241242289348176</v>
      </c>
      <c r="K10" s="2"/>
      <c r="L10" s="144"/>
      <c r="M10" s="144"/>
      <c r="N10" s="144"/>
      <c r="O10" s="144"/>
      <c r="P10" s="145"/>
      <c r="Q10" s="144"/>
      <c r="R10" s="144"/>
      <c r="S10" s="147"/>
      <c r="T10" s="147"/>
      <c r="U10" s="147"/>
      <c r="V10" s="148"/>
      <c r="W10" s="148"/>
      <c r="X10" s="148"/>
      <c r="Y10" s="148"/>
      <c r="Z10" s="148"/>
      <c r="AA10" s="148"/>
      <c r="AB10" s="148"/>
      <c r="AC10" s="148"/>
      <c r="AD10" s="86"/>
      <c r="AE10" s="86"/>
      <c r="AF10" s="86"/>
      <c r="AG10" s="86"/>
      <c r="AH10" s="86"/>
      <c r="AI10" s="86"/>
      <c r="AJ10" s="86"/>
    </row>
    <row r="11" spans="1:36" s="6" customFormat="1" ht="15" customHeight="1" x14ac:dyDescent="0.2">
      <c r="A11" s="103"/>
      <c r="B11" s="103"/>
      <c r="C11" s="103"/>
      <c r="D11" s="103"/>
      <c r="E11" s="302" t="str">
        <f>SINTÉTICA!$E$11</f>
        <v>REFERÊNCIA: SINAPI - PA - OUTUBRO/19 (NÃO DESONERADA)</v>
      </c>
      <c r="F11" s="302"/>
      <c r="G11" s="302"/>
      <c r="H11" s="302"/>
      <c r="I11" s="302"/>
      <c r="J11" s="106"/>
      <c r="K11" s="2"/>
      <c r="L11" s="144"/>
      <c r="M11" s="144"/>
      <c r="N11" s="144"/>
      <c r="O11" s="144"/>
      <c r="P11" s="145"/>
      <c r="Q11" s="144"/>
      <c r="R11" s="144"/>
      <c r="S11" s="147"/>
      <c r="T11" s="147"/>
      <c r="U11" s="147"/>
      <c r="V11" s="148"/>
      <c r="W11" s="148"/>
      <c r="X11" s="148"/>
      <c r="Y11" s="148"/>
      <c r="Z11" s="148"/>
      <c r="AA11" s="148"/>
      <c r="AB11" s="148"/>
      <c r="AC11" s="148"/>
      <c r="AD11" s="86"/>
      <c r="AE11" s="86"/>
      <c r="AF11" s="86"/>
      <c r="AG11" s="86"/>
      <c r="AH11" s="86"/>
      <c r="AI11" s="86"/>
      <c r="AJ11" s="86"/>
    </row>
    <row r="12" spans="1:36" ht="15" customHeight="1" x14ac:dyDescent="0.2">
      <c r="A12" s="296"/>
      <c r="B12" s="296"/>
      <c r="C12" s="296"/>
      <c r="D12" s="296"/>
      <c r="E12" s="296"/>
      <c r="F12" s="296"/>
      <c r="G12" s="296"/>
      <c r="H12" s="296"/>
      <c r="I12" s="296"/>
      <c r="J12" s="296"/>
      <c r="L12" s="149"/>
      <c r="M12" s="149"/>
      <c r="N12" s="149"/>
      <c r="O12" s="149"/>
      <c r="P12" s="149"/>
      <c r="Q12" s="149"/>
      <c r="R12" s="149"/>
      <c r="S12" s="149"/>
      <c r="T12" s="149">
        <v>20</v>
      </c>
      <c r="U12" s="149">
        <v>21</v>
      </c>
      <c r="V12" s="149">
        <v>22</v>
      </c>
      <c r="W12" s="149">
        <v>23</v>
      </c>
      <c r="X12" s="149">
        <v>24</v>
      </c>
      <c r="Y12" s="149">
        <v>25</v>
      </c>
      <c r="Z12" s="149">
        <v>26</v>
      </c>
      <c r="AA12" s="149">
        <v>27</v>
      </c>
      <c r="AB12" s="149">
        <v>28</v>
      </c>
      <c r="AC12" s="149">
        <v>29</v>
      </c>
      <c r="AD12" s="86"/>
      <c r="AE12" s="86"/>
      <c r="AF12" s="86"/>
      <c r="AG12" s="86"/>
      <c r="AH12" s="86"/>
      <c r="AI12" s="86"/>
      <c r="AJ12" s="86"/>
    </row>
    <row r="13" spans="1:36" ht="30" customHeight="1" x14ac:dyDescent="0.2">
      <c r="A13" s="84" t="s">
        <v>172</v>
      </c>
      <c r="B13" s="84" t="s">
        <v>156</v>
      </c>
      <c r="C13" s="84" t="s">
        <v>157</v>
      </c>
      <c r="D13" s="84" t="s">
        <v>146</v>
      </c>
      <c r="E13" s="289" t="s">
        <v>172</v>
      </c>
      <c r="F13" s="289"/>
      <c r="G13" s="84" t="s">
        <v>158</v>
      </c>
      <c r="H13" s="84" t="s">
        <v>159</v>
      </c>
      <c r="I13" s="188" t="s">
        <v>183</v>
      </c>
      <c r="J13" s="188" t="s">
        <v>187</v>
      </c>
      <c r="L13" s="163" t="s">
        <v>83</v>
      </c>
      <c r="M13" s="164" t="s">
        <v>82</v>
      </c>
      <c r="N13" s="164" t="s">
        <v>80</v>
      </c>
      <c r="O13" s="164" t="s">
        <v>81</v>
      </c>
      <c r="P13" s="165" t="s">
        <v>84</v>
      </c>
      <c r="Q13" s="164" t="s">
        <v>85</v>
      </c>
      <c r="R13" s="166" t="s">
        <v>86</v>
      </c>
      <c r="S13" s="149"/>
      <c r="T13" s="151"/>
      <c r="U13" s="152" t="s">
        <v>1</v>
      </c>
      <c r="V13" s="152" t="s">
        <v>2</v>
      </c>
      <c r="W13" s="152" t="s">
        <v>3</v>
      </c>
      <c r="X13" s="152" t="s">
        <v>17</v>
      </c>
      <c r="Y13" s="152"/>
      <c r="Z13" s="152" t="s">
        <v>4</v>
      </c>
      <c r="AA13" s="152" t="s">
        <v>5</v>
      </c>
      <c r="AB13" s="152"/>
      <c r="AC13" s="153"/>
      <c r="AD13" s="86"/>
      <c r="AE13" s="86"/>
      <c r="AF13" s="86"/>
      <c r="AG13" s="86"/>
      <c r="AH13" s="86"/>
      <c r="AI13" s="86"/>
      <c r="AJ13" s="86"/>
    </row>
    <row r="14" spans="1:36" s="1" customFormat="1" x14ac:dyDescent="0.2">
      <c r="A14" s="303" t="s">
        <v>186</v>
      </c>
      <c r="B14" s="303"/>
      <c r="C14" s="303"/>
      <c r="D14" s="303"/>
      <c r="E14" s="303"/>
      <c r="F14" s="303"/>
      <c r="G14" s="303"/>
      <c r="H14" s="303"/>
      <c r="I14" s="303"/>
      <c r="J14" s="303"/>
      <c r="K14" s="2"/>
      <c r="S14" s="150"/>
      <c r="T14" s="130" t="s">
        <v>18</v>
      </c>
      <c r="U14" s="88">
        <v>88239</v>
      </c>
      <c r="V14" s="89" t="s">
        <v>8</v>
      </c>
      <c r="W14" s="89" t="s">
        <v>47</v>
      </c>
      <c r="X14" s="89" t="s">
        <v>26</v>
      </c>
      <c r="Y14" s="89"/>
      <c r="Z14" s="90" t="s">
        <v>27</v>
      </c>
      <c r="AA14" s="91">
        <v>1</v>
      </c>
      <c r="AB14" s="92">
        <f>SUMIF(AE:AE,$L14,AF:AF)</f>
        <v>0</v>
      </c>
      <c r="AC14" s="131">
        <f>TRUNC(AA14*AB14,2)</f>
        <v>0</v>
      </c>
      <c r="AD14" s="86"/>
      <c r="AE14" s="86"/>
      <c r="AF14" s="86"/>
      <c r="AG14" s="86"/>
      <c r="AH14" s="86"/>
      <c r="AI14" s="86"/>
      <c r="AJ14" s="86"/>
    </row>
    <row r="15" spans="1:36" ht="15" x14ac:dyDescent="0.2">
      <c r="A15" s="242"/>
      <c r="B15" s="203" t="s">
        <v>1</v>
      </c>
      <c r="C15" s="242" t="s">
        <v>2</v>
      </c>
      <c r="D15" s="242" t="s">
        <v>3</v>
      </c>
      <c r="E15" s="304" t="s">
        <v>17</v>
      </c>
      <c r="F15" s="305"/>
      <c r="G15" s="202" t="s">
        <v>4</v>
      </c>
      <c r="H15" s="203" t="s">
        <v>5</v>
      </c>
      <c r="I15" s="203" t="s">
        <v>6</v>
      </c>
      <c r="J15" s="203" t="s">
        <v>7</v>
      </c>
      <c r="L15" s="154"/>
      <c r="M15" s="154"/>
      <c r="N15" s="154"/>
      <c r="O15" s="154"/>
      <c r="P15" s="155"/>
      <c r="Q15" s="154"/>
      <c r="R15" s="154"/>
      <c r="S15" s="150"/>
      <c r="T15" s="132" t="s">
        <v>20</v>
      </c>
      <c r="U15" s="93">
        <v>95309</v>
      </c>
      <c r="V15" s="94" t="s">
        <v>8</v>
      </c>
      <c r="W15" s="94" t="s">
        <v>73</v>
      </c>
      <c r="X15" s="94" t="s">
        <v>26</v>
      </c>
      <c r="Y15" s="94"/>
      <c r="Z15" s="95" t="s">
        <v>27</v>
      </c>
      <c r="AA15" s="96">
        <v>1</v>
      </c>
      <c r="AB15" s="97">
        <f>SUMIFS(AC:AC,T:T,"Composição",U:U,$B15)</f>
        <v>0</v>
      </c>
      <c r="AC15" s="133">
        <f>TRUNC(AA15*AB15,2)</f>
        <v>0</v>
      </c>
      <c r="AD15" s="87"/>
      <c r="AE15" s="87"/>
      <c r="AF15" s="87"/>
      <c r="AG15" s="87"/>
      <c r="AH15" s="87"/>
      <c r="AI15" s="87"/>
      <c r="AJ15" s="87"/>
    </row>
    <row r="16" spans="1:36" ht="14.25" customHeight="1" x14ac:dyDescent="0.2">
      <c r="A16" s="247" t="s">
        <v>18</v>
      </c>
      <c r="B16" s="207" t="s">
        <v>260</v>
      </c>
      <c r="C16" s="247" t="s">
        <v>8</v>
      </c>
      <c r="D16" s="247" t="s">
        <v>261</v>
      </c>
      <c r="E16" s="285" t="s">
        <v>26</v>
      </c>
      <c r="F16" s="285"/>
      <c r="G16" s="206" t="s">
        <v>27</v>
      </c>
      <c r="H16" s="209">
        <v>1</v>
      </c>
      <c r="I16" s="208">
        <f>SUMIF(L:L,$L16,M:M)</f>
        <v>13.69</v>
      </c>
      <c r="J16" s="208">
        <f t="shared" ref="J16:J24" si="0">TRUNC(H16*I16,2)</f>
        <v>13.69</v>
      </c>
      <c r="L16" s="149">
        <v>1</v>
      </c>
      <c r="M16" s="156" t="str">
        <f t="shared" ref="M16:M79" si="1">IF(OR(A16="Insumo",A16="Composição Auxiliar"),J16,"")</f>
        <v/>
      </c>
      <c r="N16" s="157" t="str">
        <f t="shared" ref="N16:N79" si="2">IF(E16="Mão de Obra",J16,"")</f>
        <v/>
      </c>
      <c r="O16" s="157" t="str">
        <f t="shared" ref="O16:O19" si="3">IF(N16&lt;&gt;"","",M16)</f>
        <v/>
      </c>
      <c r="P16" s="158" t="str">
        <f t="shared" ref="P16:P79" si="4">IF(A16="Composição",B16,"")</f>
        <v xml:space="preserve"> 88240 </v>
      </c>
      <c r="Q16" s="157">
        <f t="shared" ref="Q16:Q19" si="5">IF(P16&lt;&gt;"",SUMIF(L16:L116,L16,N16:N116),"")</f>
        <v>9.43</v>
      </c>
      <c r="R16" s="157">
        <f t="shared" ref="R16:R19" si="6">IF(P16&lt;&gt;"",SUMIF(L16:L116,L16,O16:O116),"")</f>
        <v>4.26</v>
      </c>
      <c r="S16" s="147"/>
      <c r="T16" s="134" t="s">
        <v>30</v>
      </c>
      <c r="U16" s="135" t="s">
        <v>87</v>
      </c>
      <c r="V16" s="183" t="str">
        <f>VLOOKUP(U16,INSUMOS!$A:$I,2,FALSE)</f>
        <v>SINAPI</v>
      </c>
      <c r="W16" s="183" t="str">
        <f>VLOOKUP(U16,INSUMOS!$A:$I,3,FALSE)</f>
        <v>ALIMENTACAO - HORISTA (COLETADO CAIXA)</v>
      </c>
      <c r="X16" s="295" t="str">
        <f>VLOOKUP(U16,INSUMOS!$A:$I,4,FALSE)</f>
        <v>Outros</v>
      </c>
      <c r="Y16" s="295"/>
      <c r="Z16" s="136" t="str">
        <f>VLOOKUP(U16,INSUMOS!$A:$I,5,FALSE)</f>
        <v>H</v>
      </c>
      <c r="AA16" s="137">
        <v>1</v>
      </c>
      <c r="AB16" s="138">
        <f>VLOOKUP(U16,INSUMOS!$A:$I,8,FALSE)</f>
        <v>2.1800000000000002</v>
      </c>
      <c r="AC16" s="139">
        <f>TRUNC(AA16*AB16,2)</f>
        <v>2.1800000000000002</v>
      </c>
      <c r="AD16" s="86"/>
      <c r="AE16" s="86"/>
      <c r="AF16" s="86"/>
      <c r="AG16" s="86"/>
      <c r="AH16" s="86"/>
      <c r="AI16" s="86"/>
      <c r="AJ16" s="86"/>
    </row>
    <row r="17" spans="1:36" ht="25.5" x14ac:dyDescent="0.2">
      <c r="A17" s="244" t="s">
        <v>20</v>
      </c>
      <c r="B17" s="212" t="s">
        <v>262</v>
      </c>
      <c r="C17" s="244" t="s">
        <v>8</v>
      </c>
      <c r="D17" s="244" t="s">
        <v>263</v>
      </c>
      <c r="E17" s="283" t="s">
        <v>26</v>
      </c>
      <c r="F17" s="283"/>
      <c r="G17" s="211" t="s">
        <v>27</v>
      </c>
      <c r="H17" s="214">
        <v>1</v>
      </c>
      <c r="I17" s="213">
        <f>SUMIFS(J:J,A:A,"Composição",B:B,$B17)</f>
        <v>7.0000000000000007E-2</v>
      </c>
      <c r="J17" s="213">
        <f t="shared" si="0"/>
        <v>7.0000000000000007E-2</v>
      </c>
      <c r="L17" s="149">
        <f t="shared" ref="L17:L80" si="7">IF(AND(A18&lt;&gt;"",A17=""),L16+1,L16)</f>
        <v>1</v>
      </c>
      <c r="M17" s="156">
        <f t="shared" si="1"/>
        <v>7.0000000000000007E-2</v>
      </c>
      <c r="N17" s="157" t="str">
        <f t="shared" si="2"/>
        <v/>
      </c>
      <c r="O17" s="157">
        <f t="shared" si="3"/>
        <v>7.0000000000000007E-2</v>
      </c>
      <c r="P17" s="158" t="str">
        <f t="shared" si="4"/>
        <v/>
      </c>
      <c r="Q17" s="157" t="str">
        <f t="shared" si="5"/>
        <v/>
      </c>
      <c r="R17" s="157" t="str">
        <f t="shared" si="6"/>
        <v/>
      </c>
      <c r="S17" s="147"/>
      <c r="T17" s="184"/>
      <c r="U17" s="98"/>
      <c r="V17" s="184"/>
      <c r="W17" s="184"/>
      <c r="X17" s="306"/>
      <c r="Y17" s="306"/>
      <c r="Z17" s="100"/>
      <c r="AA17" s="101"/>
      <c r="AB17" s="102"/>
      <c r="AC17" s="102"/>
      <c r="AD17" s="86"/>
      <c r="AE17" s="86"/>
      <c r="AF17" s="86"/>
      <c r="AG17" s="86"/>
      <c r="AH17" s="86"/>
      <c r="AI17" s="86"/>
      <c r="AJ17" s="86"/>
    </row>
    <row r="18" spans="1:36" ht="15" customHeight="1" x14ac:dyDescent="0.2">
      <c r="A18" s="243" t="s">
        <v>30</v>
      </c>
      <c r="B18" s="216" t="s">
        <v>232</v>
      </c>
      <c r="C18" s="243" t="str">
        <f>VLOOKUP(B18,INSUMOS!$A:$I,2,FALSE)</f>
        <v>SINAPI</v>
      </c>
      <c r="D18" s="243" t="str">
        <f>VLOOKUP(B18,INSUMOS!$A:$I,3,FALSE)</f>
        <v>AJUDANTE DE ESTRUTURAS METALICAS</v>
      </c>
      <c r="E18" s="281" t="str">
        <f>VLOOKUP(B18,INSUMOS!$A:$I,4,FALSE)</f>
        <v>Mão de Obra</v>
      </c>
      <c r="F18" s="281"/>
      <c r="G18" s="215" t="str">
        <f>VLOOKUP(B18,INSUMOS!$A:$I,5,FALSE)</f>
        <v>H</v>
      </c>
      <c r="H18" s="218">
        <v>1</v>
      </c>
      <c r="I18" s="217">
        <f>VLOOKUP(B18,INSUMOS!$A:$I,8,FALSE)</f>
        <v>9.43</v>
      </c>
      <c r="J18" s="217">
        <f t="shared" si="0"/>
        <v>9.43</v>
      </c>
      <c r="K18" s="3"/>
      <c r="L18" s="149">
        <f t="shared" si="7"/>
        <v>1</v>
      </c>
      <c r="M18" s="156">
        <f t="shared" si="1"/>
        <v>9.43</v>
      </c>
      <c r="N18" s="157">
        <f t="shared" si="2"/>
        <v>9.43</v>
      </c>
      <c r="O18" s="157" t="str">
        <f t="shared" si="3"/>
        <v/>
      </c>
      <c r="P18" s="158" t="str">
        <f t="shared" si="4"/>
        <v/>
      </c>
      <c r="Q18" s="157" t="str">
        <f t="shared" si="5"/>
        <v/>
      </c>
      <c r="R18" s="157" t="str">
        <f t="shared" si="6"/>
        <v/>
      </c>
      <c r="S18" s="147"/>
      <c r="T18" s="184"/>
      <c r="U18" s="98"/>
      <c r="V18" s="184"/>
      <c r="W18" s="184"/>
      <c r="X18" s="306"/>
      <c r="Y18" s="306"/>
      <c r="Z18" s="100"/>
      <c r="AA18" s="101"/>
      <c r="AB18" s="102"/>
      <c r="AC18" s="102"/>
      <c r="AD18" s="86"/>
      <c r="AE18" s="86"/>
      <c r="AF18" s="86"/>
      <c r="AG18" s="86"/>
      <c r="AH18" s="86"/>
      <c r="AI18" s="86"/>
      <c r="AJ18" s="86"/>
    </row>
    <row r="19" spans="1:36" ht="25.5" customHeight="1" x14ac:dyDescent="0.2">
      <c r="A19" s="243" t="s">
        <v>30</v>
      </c>
      <c r="B19" s="216" t="s">
        <v>87</v>
      </c>
      <c r="C19" s="243" t="str">
        <f>VLOOKUP(B19,INSUMOS!$A:$I,2,FALSE)</f>
        <v>SINAPI</v>
      </c>
      <c r="D19" s="243" t="str">
        <f>VLOOKUP(B19,INSUMOS!$A:$I,3,FALSE)</f>
        <v>ALIMENTACAO - HORISTA (COLETADO CAIXA)</v>
      </c>
      <c r="E19" s="281" t="str">
        <f>VLOOKUP(B19,INSUMOS!$A:$I,4,FALSE)</f>
        <v>Outros</v>
      </c>
      <c r="F19" s="281"/>
      <c r="G19" s="215" t="str">
        <f>VLOOKUP(B19,INSUMOS!$A:$I,5,FALSE)</f>
        <v>H</v>
      </c>
      <c r="H19" s="218">
        <v>1</v>
      </c>
      <c r="I19" s="217">
        <f>VLOOKUP(B19,INSUMOS!$A:$I,8,FALSE)</f>
        <v>2.1800000000000002</v>
      </c>
      <c r="J19" s="217">
        <f t="shared" si="0"/>
        <v>2.1800000000000002</v>
      </c>
      <c r="K19" s="4"/>
      <c r="L19" s="149">
        <f t="shared" si="7"/>
        <v>1</v>
      </c>
      <c r="M19" s="156">
        <f t="shared" si="1"/>
        <v>2.1800000000000002</v>
      </c>
      <c r="N19" s="157" t="str">
        <f t="shared" si="2"/>
        <v/>
      </c>
      <c r="O19" s="157">
        <f t="shared" si="3"/>
        <v>2.1800000000000002</v>
      </c>
      <c r="P19" s="158" t="str">
        <f t="shared" si="4"/>
        <v/>
      </c>
      <c r="Q19" s="157" t="str">
        <f t="shared" si="5"/>
        <v/>
      </c>
      <c r="R19" s="157" t="str">
        <f t="shared" si="6"/>
        <v/>
      </c>
      <c r="S19" s="147"/>
      <c r="T19" s="99"/>
      <c r="U19" s="98"/>
      <c r="V19" s="99"/>
      <c r="W19" s="99"/>
      <c r="X19" s="306"/>
      <c r="Y19" s="306"/>
      <c r="Z19" s="100"/>
      <c r="AA19" s="101"/>
      <c r="AB19" s="102"/>
      <c r="AC19" s="102"/>
      <c r="AD19" s="86"/>
      <c r="AE19" s="86"/>
      <c r="AF19" s="86"/>
      <c r="AG19" s="86"/>
      <c r="AH19" s="86"/>
      <c r="AI19" s="86"/>
      <c r="AJ19" s="86"/>
    </row>
    <row r="20" spans="1:36" ht="25.5" x14ac:dyDescent="0.2">
      <c r="A20" s="243" t="s">
        <v>30</v>
      </c>
      <c r="B20" s="216" t="s">
        <v>114</v>
      </c>
      <c r="C20" s="243" t="str">
        <f>VLOOKUP(B20,INSUMOS!$A:$I,2,FALSE)</f>
        <v>SINAPI</v>
      </c>
      <c r="D20" s="243" t="str">
        <f>VLOOKUP(B20,INSUMOS!$A:$I,3,FALSE)</f>
        <v>EPI - FAMILIA OPERADOR ESCAVADEIRA - HORISTA (ENCARGOS COMPLEMENTARES - COLETADO CAIXA)</v>
      </c>
      <c r="E20" s="281" t="str">
        <f>VLOOKUP(B20,INSUMOS!$A:$I,4,FALSE)</f>
        <v>Equipamento</v>
      </c>
      <c r="F20" s="281"/>
      <c r="G20" s="215" t="str">
        <f>VLOOKUP(B20,INSUMOS!$A:$I,5,FALSE)</f>
        <v>H</v>
      </c>
      <c r="H20" s="218">
        <v>1</v>
      </c>
      <c r="I20" s="217">
        <f>VLOOKUP(B20,INSUMOS!$A:$I,8,FALSE)</f>
        <v>0.66</v>
      </c>
      <c r="J20" s="217">
        <f t="shared" si="0"/>
        <v>0.66</v>
      </c>
      <c r="K20" s="4"/>
      <c r="L20" s="149">
        <f t="shared" si="7"/>
        <v>1</v>
      </c>
      <c r="M20" s="156">
        <f t="shared" si="1"/>
        <v>0.66</v>
      </c>
      <c r="N20" s="157" t="str">
        <f t="shared" si="2"/>
        <v/>
      </c>
      <c r="O20" s="157">
        <f>IF(N20&lt;&gt;"","",M20)</f>
        <v>0.66</v>
      </c>
      <c r="P20" s="158" t="str">
        <f t="shared" si="4"/>
        <v/>
      </c>
      <c r="Q20" s="157" t="str">
        <f t="shared" ref="Q20:Q81" si="8">IF(P20&lt;&gt;"",SUMIF(L20:L120,L20,N20:N120),"")</f>
        <v/>
      </c>
      <c r="R20" s="157" t="str">
        <f t="shared" ref="R20:R81" si="9">IF(P20&lt;&gt;"",SUMIF(L20:L120,L20,O20:O120),"")</f>
        <v/>
      </c>
      <c r="S20" s="147"/>
      <c r="T20" s="147"/>
      <c r="U20" s="147"/>
      <c r="V20" s="148"/>
      <c r="W20" s="148"/>
      <c r="X20" s="148"/>
      <c r="Y20" s="148"/>
      <c r="Z20" s="148"/>
      <c r="AA20" s="148"/>
      <c r="AB20" s="148"/>
      <c r="AC20" s="148"/>
      <c r="AD20" s="86"/>
      <c r="AE20" s="86"/>
      <c r="AF20" s="86"/>
      <c r="AG20" s="86"/>
      <c r="AH20" s="86"/>
      <c r="AI20" s="86"/>
      <c r="AJ20" s="86"/>
    </row>
    <row r="21" spans="1:36" ht="14.25" customHeight="1" x14ac:dyDescent="0.2">
      <c r="A21" s="243" t="s">
        <v>30</v>
      </c>
      <c r="B21" s="216" t="s">
        <v>89</v>
      </c>
      <c r="C21" s="243" t="str">
        <f>VLOOKUP(B21,INSUMOS!$A:$I,2,FALSE)</f>
        <v>SINAPI</v>
      </c>
      <c r="D21" s="243" t="str">
        <f>VLOOKUP(B21,INSUMOS!$A:$I,3,FALSE)</f>
        <v>EXAMES - HORISTA (COLETADO CAIXA)</v>
      </c>
      <c r="E21" s="281" t="str">
        <f>VLOOKUP(B21,INSUMOS!$A:$I,4,FALSE)</f>
        <v>Outros</v>
      </c>
      <c r="F21" s="281"/>
      <c r="G21" s="215" t="str">
        <f>VLOOKUP(B21,INSUMOS!$A:$I,5,FALSE)</f>
        <v>H</v>
      </c>
      <c r="H21" s="218">
        <v>1</v>
      </c>
      <c r="I21" s="217">
        <f>VLOOKUP(B21,INSUMOS!$A:$I,8,FALSE)</f>
        <v>0.35</v>
      </c>
      <c r="J21" s="217">
        <f t="shared" si="0"/>
        <v>0.35</v>
      </c>
      <c r="K21" s="4"/>
      <c r="L21" s="149">
        <f t="shared" si="7"/>
        <v>1</v>
      </c>
      <c r="M21" s="156">
        <f t="shared" si="1"/>
        <v>0.35</v>
      </c>
      <c r="N21" s="157" t="str">
        <f t="shared" si="2"/>
        <v/>
      </c>
      <c r="O21" s="157">
        <f t="shared" ref="O21:O84" si="10">IF(N21&lt;&gt;"","",M21)</f>
        <v>0.35</v>
      </c>
      <c r="P21" s="158" t="str">
        <f t="shared" si="4"/>
        <v/>
      </c>
      <c r="Q21" s="157" t="str">
        <f t="shared" si="8"/>
        <v/>
      </c>
      <c r="R21" s="157" t="str">
        <f t="shared" si="9"/>
        <v/>
      </c>
      <c r="S21" s="147"/>
      <c r="T21" s="147"/>
      <c r="U21" s="147"/>
      <c r="V21" s="148"/>
      <c r="Z21" s="148"/>
      <c r="AA21" s="148"/>
      <c r="AB21" s="148"/>
      <c r="AC21" s="148"/>
      <c r="AD21" s="86"/>
      <c r="AE21" s="86"/>
      <c r="AF21" s="86"/>
      <c r="AG21" s="86"/>
      <c r="AH21" s="86"/>
      <c r="AI21" s="86"/>
      <c r="AJ21" s="86"/>
    </row>
    <row r="22" spans="1:36" ht="25.5" x14ac:dyDescent="0.2">
      <c r="A22" s="243" t="s">
        <v>30</v>
      </c>
      <c r="B22" s="216" t="s">
        <v>115</v>
      </c>
      <c r="C22" s="243" t="str">
        <f>VLOOKUP(B22,INSUMOS!$A:$I,2,FALSE)</f>
        <v>SINAPI</v>
      </c>
      <c r="D22" s="243" t="str">
        <f>VLOOKUP(B22,INSUMOS!$A:$I,3,FALSE)</f>
        <v>FERRAMENTAS - FAMILIA OPERADOR ESCAVADEIRA - HORISTA (ENCARGOS COMPLEMENTARES - COLETADO CAIXA)</v>
      </c>
      <c r="E22" s="281" t="str">
        <f>VLOOKUP(B22,INSUMOS!$A:$I,4,FALSE)</f>
        <v>Equipamento</v>
      </c>
      <c r="F22" s="281"/>
      <c r="G22" s="215" t="str">
        <f>VLOOKUP(B22,INSUMOS!$A:$I,5,FALSE)</f>
        <v>H</v>
      </c>
      <c r="H22" s="218">
        <v>1</v>
      </c>
      <c r="I22" s="217">
        <f>VLOOKUP(B22,INSUMOS!$A:$I,8,FALSE)</f>
        <v>0.01</v>
      </c>
      <c r="J22" s="217">
        <f t="shared" si="0"/>
        <v>0.01</v>
      </c>
      <c r="K22" s="4"/>
      <c r="L22" s="149">
        <f t="shared" si="7"/>
        <v>1</v>
      </c>
      <c r="M22" s="156">
        <f t="shared" si="1"/>
        <v>0.01</v>
      </c>
      <c r="N22" s="157" t="str">
        <f t="shared" si="2"/>
        <v/>
      </c>
      <c r="O22" s="157">
        <f t="shared" si="10"/>
        <v>0.01</v>
      </c>
      <c r="P22" s="158" t="str">
        <f t="shared" si="4"/>
        <v/>
      </c>
      <c r="Q22" s="157" t="str">
        <f t="shared" si="8"/>
        <v/>
      </c>
      <c r="R22" s="157" t="str">
        <f t="shared" si="9"/>
        <v/>
      </c>
      <c r="S22" s="147"/>
      <c r="T22" s="147"/>
      <c r="U22" s="147"/>
      <c r="V22" s="148"/>
      <c r="Z22" s="148"/>
      <c r="AA22" s="148"/>
      <c r="AB22" s="148"/>
      <c r="AC22" s="148"/>
      <c r="AD22" s="86"/>
      <c r="AE22" s="86"/>
      <c r="AF22" s="86"/>
      <c r="AG22" s="86"/>
      <c r="AH22" s="86"/>
      <c r="AI22" s="86"/>
      <c r="AJ22" s="86"/>
    </row>
    <row r="23" spans="1:36" ht="14.25" customHeight="1" x14ac:dyDescent="0.2">
      <c r="A23" s="243" t="s">
        <v>30</v>
      </c>
      <c r="B23" s="216" t="s">
        <v>91</v>
      </c>
      <c r="C23" s="243" t="str">
        <f>VLOOKUP(B23,INSUMOS!$A:$I,2,FALSE)</f>
        <v>SINAPI</v>
      </c>
      <c r="D23" s="243" t="str">
        <f>VLOOKUP(B23,INSUMOS!$A:$I,3,FALSE)</f>
        <v>SEGURO - HORISTA (COLETADO CAIXA)</v>
      </c>
      <c r="E23" s="281" t="str">
        <f>VLOOKUP(B23,INSUMOS!$A:$I,4,FALSE)</f>
        <v>Taxas</v>
      </c>
      <c r="F23" s="281"/>
      <c r="G23" s="215" t="str">
        <f>VLOOKUP(B23,INSUMOS!$A:$I,5,FALSE)</f>
        <v>H</v>
      </c>
      <c r="H23" s="218">
        <v>1</v>
      </c>
      <c r="I23" s="217">
        <f>VLOOKUP(B23,INSUMOS!$A:$I,8,FALSE)</f>
        <v>7.0000000000000007E-2</v>
      </c>
      <c r="J23" s="217">
        <f t="shared" si="0"/>
        <v>7.0000000000000007E-2</v>
      </c>
      <c r="K23" s="4"/>
      <c r="L23" s="149">
        <f t="shared" si="7"/>
        <v>1</v>
      </c>
      <c r="M23" s="156">
        <f t="shared" si="1"/>
        <v>7.0000000000000007E-2</v>
      </c>
      <c r="N23" s="157" t="str">
        <f t="shared" si="2"/>
        <v/>
      </c>
      <c r="O23" s="157">
        <f t="shared" si="10"/>
        <v>7.0000000000000007E-2</v>
      </c>
      <c r="P23" s="158" t="str">
        <f t="shared" si="4"/>
        <v/>
      </c>
      <c r="Q23" s="157" t="str">
        <f t="shared" si="8"/>
        <v/>
      </c>
      <c r="R23" s="157" t="str">
        <f t="shared" si="9"/>
        <v/>
      </c>
      <c r="S23" s="147"/>
      <c r="T23" s="147"/>
      <c r="U23" s="147"/>
      <c r="V23" s="148"/>
      <c r="Z23" s="148"/>
      <c r="AA23" s="148"/>
      <c r="AB23" s="148"/>
      <c r="AC23" s="148"/>
      <c r="AD23" s="86"/>
      <c r="AE23" s="86"/>
      <c r="AF23" s="86"/>
      <c r="AG23" s="86"/>
      <c r="AH23" s="86"/>
      <c r="AI23" s="86"/>
      <c r="AJ23" s="86"/>
    </row>
    <row r="24" spans="1:36" ht="14.25" customHeight="1" x14ac:dyDescent="0.2">
      <c r="A24" s="243" t="s">
        <v>30</v>
      </c>
      <c r="B24" s="216" t="s">
        <v>92</v>
      </c>
      <c r="C24" s="243" t="str">
        <f>VLOOKUP(B24,INSUMOS!$A:$I,2,FALSE)</f>
        <v>SINAPI</v>
      </c>
      <c r="D24" s="243" t="str">
        <f>VLOOKUP(B24,INSUMOS!$A:$I,3,FALSE)</f>
        <v>TRANSPORTE - HORISTA (COLETADO CAIXA)</v>
      </c>
      <c r="E24" s="281" t="str">
        <f>VLOOKUP(B24,INSUMOS!$A:$I,4,FALSE)</f>
        <v>Serviços</v>
      </c>
      <c r="F24" s="281"/>
      <c r="G24" s="215" t="str">
        <f>VLOOKUP(B24,INSUMOS!$A:$I,5,FALSE)</f>
        <v>H</v>
      </c>
      <c r="H24" s="218">
        <v>1</v>
      </c>
      <c r="I24" s="217">
        <f>VLOOKUP(B24,INSUMOS!$A:$I,8,FALSE)</f>
        <v>0.92</v>
      </c>
      <c r="J24" s="217">
        <f t="shared" si="0"/>
        <v>0.92</v>
      </c>
      <c r="K24" s="4"/>
      <c r="L24" s="149">
        <f t="shared" si="7"/>
        <v>1</v>
      </c>
      <c r="M24" s="156">
        <f t="shared" si="1"/>
        <v>0.92</v>
      </c>
      <c r="N24" s="157" t="str">
        <f t="shared" si="2"/>
        <v/>
      </c>
      <c r="O24" s="157">
        <f t="shared" si="10"/>
        <v>0.92</v>
      </c>
      <c r="P24" s="158" t="str">
        <f t="shared" si="4"/>
        <v/>
      </c>
      <c r="Q24" s="157" t="str">
        <f t="shared" si="8"/>
        <v/>
      </c>
      <c r="R24" s="157" t="str">
        <f t="shared" si="9"/>
        <v/>
      </c>
      <c r="S24" s="147"/>
      <c r="T24" s="147"/>
      <c r="U24" s="147"/>
      <c r="V24" s="148"/>
      <c r="Z24" s="148"/>
      <c r="AA24" s="148"/>
      <c r="AB24" s="148"/>
      <c r="AC24" s="148"/>
      <c r="AD24" s="86"/>
      <c r="AE24" s="86"/>
      <c r="AF24" s="86"/>
      <c r="AG24" s="86"/>
      <c r="AH24" s="86"/>
      <c r="AI24" s="86"/>
      <c r="AJ24" s="86"/>
    </row>
    <row r="25" spans="1:36" ht="15" customHeight="1" x14ac:dyDescent="0.2">
      <c r="A25" s="246"/>
      <c r="B25" s="246"/>
      <c r="C25" s="246"/>
      <c r="D25" s="246"/>
      <c r="E25" s="246"/>
      <c r="F25" s="222"/>
      <c r="G25" s="246"/>
      <c r="H25" s="222"/>
      <c r="I25" s="246"/>
      <c r="J25" s="222"/>
      <c r="K25" s="4"/>
      <c r="L25" s="149">
        <f t="shared" si="7"/>
        <v>1</v>
      </c>
      <c r="M25" s="156" t="str">
        <f t="shared" si="1"/>
        <v/>
      </c>
      <c r="N25" s="157" t="str">
        <f t="shared" si="2"/>
        <v/>
      </c>
      <c r="O25" s="157" t="str">
        <f t="shared" si="10"/>
        <v/>
      </c>
      <c r="P25" s="158" t="str">
        <f t="shared" si="4"/>
        <v/>
      </c>
      <c r="Q25" s="157" t="str">
        <f t="shared" si="8"/>
        <v/>
      </c>
      <c r="R25" s="157" t="str">
        <f t="shared" si="9"/>
        <v/>
      </c>
      <c r="S25" s="147"/>
      <c r="T25" s="147"/>
      <c r="U25" s="147"/>
      <c r="V25" s="148"/>
      <c r="W25" s="148"/>
      <c r="Z25" s="148"/>
      <c r="AA25" s="148"/>
      <c r="AB25" s="148"/>
      <c r="AC25" s="148"/>
      <c r="AD25" s="86"/>
      <c r="AE25" s="86"/>
      <c r="AF25" s="86"/>
      <c r="AG25" s="86"/>
      <c r="AH25" s="86"/>
      <c r="AI25" s="86"/>
      <c r="AJ25" s="86"/>
    </row>
    <row r="26" spans="1:36" ht="15" customHeight="1" thickBot="1" x14ac:dyDescent="0.25">
      <c r="A26" s="246"/>
      <c r="B26" s="246"/>
      <c r="C26" s="246"/>
      <c r="D26" s="246"/>
      <c r="E26" s="246"/>
      <c r="F26" s="222"/>
      <c r="G26" s="246"/>
      <c r="H26" s="282"/>
      <c r="I26" s="282"/>
      <c r="J26" s="222"/>
      <c r="K26" s="4"/>
      <c r="L26" s="149">
        <f t="shared" si="7"/>
        <v>1</v>
      </c>
      <c r="M26" s="156" t="str">
        <f t="shared" si="1"/>
        <v/>
      </c>
      <c r="N26" s="157" t="str">
        <f t="shared" si="2"/>
        <v/>
      </c>
      <c r="O26" s="157" t="str">
        <f t="shared" si="10"/>
        <v/>
      </c>
      <c r="P26" s="158" t="str">
        <f t="shared" si="4"/>
        <v/>
      </c>
      <c r="Q26" s="157" t="str">
        <f t="shared" si="8"/>
        <v/>
      </c>
      <c r="R26" s="157" t="str">
        <f t="shared" si="9"/>
        <v/>
      </c>
    </row>
    <row r="27" spans="1:36" ht="15" thickTop="1" x14ac:dyDescent="0.2">
      <c r="A27" s="210"/>
      <c r="B27" s="210"/>
      <c r="C27" s="210"/>
      <c r="D27" s="210"/>
      <c r="E27" s="210"/>
      <c r="F27" s="210"/>
      <c r="G27" s="210"/>
      <c r="H27" s="210"/>
      <c r="I27" s="210"/>
      <c r="J27" s="210"/>
      <c r="K27" s="4"/>
      <c r="L27" s="149">
        <f t="shared" si="7"/>
        <v>1</v>
      </c>
      <c r="M27" s="156" t="str">
        <f t="shared" si="1"/>
        <v/>
      </c>
      <c r="N27" s="157" t="str">
        <f t="shared" si="2"/>
        <v/>
      </c>
      <c r="O27" s="157" t="str">
        <f t="shared" si="10"/>
        <v/>
      </c>
      <c r="P27" s="158" t="str">
        <f t="shared" si="4"/>
        <v/>
      </c>
      <c r="Q27" s="157" t="str">
        <f t="shared" si="8"/>
        <v/>
      </c>
      <c r="R27" s="157" t="str">
        <f t="shared" si="9"/>
        <v/>
      </c>
    </row>
    <row r="28" spans="1:36" ht="15" x14ac:dyDescent="0.2">
      <c r="A28" s="245"/>
      <c r="B28" s="203" t="s">
        <v>1</v>
      </c>
      <c r="C28" s="245" t="s">
        <v>2</v>
      </c>
      <c r="D28" s="245" t="s">
        <v>3</v>
      </c>
      <c r="E28" s="284" t="s">
        <v>17</v>
      </c>
      <c r="F28" s="284"/>
      <c r="G28" s="202" t="s">
        <v>4</v>
      </c>
      <c r="H28" s="203" t="s">
        <v>5</v>
      </c>
      <c r="I28" s="203" t="s">
        <v>6</v>
      </c>
      <c r="J28" s="203" t="s">
        <v>7</v>
      </c>
      <c r="K28" s="4"/>
      <c r="L28" s="149">
        <f t="shared" si="7"/>
        <v>2</v>
      </c>
      <c r="M28" s="156" t="str">
        <f t="shared" si="1"/>
        <v/>
      </c>
      <c r="N28" s="157" t="str">
        <f t="shared" si="2"/>
        <v/>
      </c>
      <c r="O28" s="157" t="str">
        <f t="shared" si="10"/>
        <v/>
      </c>
      <c r="P28" s="158" t="str">
        <f t="shared" si="4"/>
        <v/>
      </c>
      <c r="Q28" s="157" t="str">
        <f t="shared" si="8"/>
        <v/>
      </c>
      <c r="R28" s="157" t="str">
        <f t="shared" si="9"/>
        <v/>
      </c>
    </row>
    <row r="29" spans="1:36" ht="14.25" customHeight="1" x14ac:dyDescent="0.2">
      <c r="A29" s="247" t="s">
        <v>18</v>
      </c>
      <c r="B29" s="207" t="s">
        <v>264</v>
      </c>
      <c r="C29" s="247" t="s">
        <v>8</v>
      </c>
      <c r="D29" s="247" t="s">
        <v>265</v>
      </c>
      <c r="E29" s="285" t="s">
        <v>26</v>
      </c>
      <c r="F29" s="285"/>
      <c r="G29" s="206" t="s">
        <v>27</v>
      </c>
      <c r="H29" s="209">
        <v>1</v>
      </c>
      <c r="I29" s="208">
        <f>SUMIF(L:L,$L29,M:M)</f>
        <v>15.91</v>
      </c>
      <c r="J29" s="208">
        <f t="shared" ref="J29:J37" si="11">TRUNC(H29*I29,2)</f>
        <v>15.91</v>
      </c>
      <c r="K29" s="4"/>
      <c r="L29" s="149">
        <f t="shared" si="7"/>
        <v>2</v>
      </c>
      <c r="M29" s="156" t="str">
        <f t="shared" si="1"/>
        <v/>
      </c>
      <c r="N29" s="157" t="str">
        <f t="shared" si="2"/>
        <v/>
      </c>
      <c r="O29" s="157" t="str">
        <f t="shared" si="10"/>
        <v/>
      </c>
      <c r="P29" s="158" t="str">
        <f t="shared" si="4"/>
        <v xml:space="preserve"> 88247 </v>
      </c>
      <c r="Q29" s="157">
        <f t="shared" si="8"/>
        <v>10.64</v>
      </c>
      <c r="R29" s="157">
        <f t="shared" si="9"/>
        <v>5.2700000000000005</v>
      </c>
    </row>
    <row r="30" spans="1:36" ht="38.25" customHeight="1" x14ac:dyDescent="0.2">
      <c r="A30" s="244" t="s">
        <v>20</v>
      </c>
      <c r="B30" s="212" t="s">
        <v>266</v>
      </c>
      <c r="C30" s="244" t="s">
        <v>8</v>
      </c>
      <c r="D30" s="244" t="s">
        <v>267</v>
      </c>
      <c r="E30" s="283" t="s">
        <v>26</v>
      </c>
      <c r="F30" s="283"/>
      <c r="G30" s="211" t="s">
        <v>27</v>
      </c>
      <c r="H30" s="214">
        <v>1</v>
      </c>
      <c r="I30" s="213">
        <f>SUMIFS(J:J,A:A,"Composição",B:B,$B30)</f>
        <v>0.27</v>
      </c>
      <c r="J30" s="213">
        <f t="shared" si="11"/>
        <v>0.27</v>
      </c>
      <c r="K30" s="4"/>
      <c r="L30" s="149">
        <f t="shared" si="7"/>
        <v>2</v>
      </c>
      <c r="M30" s="156">
        <f t="shared" si="1"/>
        <v>0.27</v>
      </c>
      <c r="N30" s="157" t="str">
        <f t="shared" si="2"/>
        <v/>
      </c>
      <c r="O30" s="157">
        <f t="shared" si="10"/>
        <v>0.27</v>
      </c>
      <c r="P30" s="158" t="str">
        <f t="shared" si="4"/>
        <v/>
      </c>
      <c r="Q30" s="157" t="str">
        <f t="shared" si="8"/>
        <v/>
      </c>
      <c r="R30" s="157" t="str">
        <f t="shared" si="9"/>
        <v/>
      </c>
    </row>
    <row r="31" spans="1:36" ht="38.25" customHeight="1" x14ac:dyDescent="0.2">
      <c r="A31" s="243" t="s">
        <v>30</v>
      </c>
      <c r="B31" s="216" t="s">
        <v>193</v>
      </c>
      <c r="C31" s="243" t="str">
        <f>VLOOKUP(B31,INSUMOS!$A:$I,2,FALSE)</f>
        <v>SINAPI</v>
      </c>
      <c r="D31" s="243" t="str">
        <f>VLOOKUP(B31,INSUMOS!$A:$I,3,FALSE)</f>
        <v>AJUDANTE DE ELETRICISTA</v>
      </c>
      <c r="E31" s="281" t="str">
        <f>VLOOKUP(B31,INSUMOS!$A:$I,4,FALSE)</f>
        <v>Mão de Obra</v>
      </c>
      <c r="F31" s="281"/>
      <c r="G31" s="215" t="str">
        <f>VLOOKUP(B31,INSUMOS!$A:$I,5,FALSE)</f>
        <v>H</v>
      </c>
      <c r="H31" s="218">
        <v>1</v>
      </c>
      <c r="I31" s="217">
        <f>VLOOKUP(B31,INSUMOS!$A:$I,8,FALSE)</f>
        <v>10.64</v>
      </c>
      <c r="J31" s="217">
        <f t="shared" si="11"/>
        <v>10.64</v>
      </c>
      <c r="K31" s="4"/>
      <c r="L31" s="149">
        <f t="shared" si="7"/>
        <v>2</v>
      </c>
      <c r="M31" s="156">
        <f t="shared" si="1"/>
        <v>10.64</v>
      </c>
      <c r="N31" s="157">
        <f t="shared" si="2"/>
        <v>10.64</v>
      </c>
      <c r="O31" s="157" t="str">
        <f t="shared" si="10"/>
        <v/>
      </c>
      <c r="P31" s="158" t="str">
        <f t="shared" si="4"/>
        <v/>
      </c>
      <c r="Q31" s="157" t="str">
        <f t="shared" si="8"/>
        <v/>
      </c>
      <c r="R31" s="157" t="str">
        <f t="shared" si="9"/>
        <v/>
      </c>
    </row>
    <row r="32" spans="1:36" ht="25.5" customHeight="1" x14ac:dyDescent="0.2">
      <c r="A32" s="243" t="s">
        <v>30</v>
      </c>
      <c r="B32" s="216" t="s">
        <v>87</v>
      </c>
      <c r="C32" s="243" t="str">
        <f>VLOOKUP(B32,INSUMOS!$A:$I,2,FALSE)</f>
        <v>SINAPI</v>
      </c>
      <c r="D32" s="243" t="str">
        <f>VLOOKUP(B32,INSUMOS!$A:$I,3,FALSE)</f>
        <v>ALIMENTACAO - HORISTA (COLETADO CAIXA)</v>
      </c>
      <c r="E32" s="281" t="str">
        <f>VLOOKUP(B32,INSUMOS!$A:$I,4,FALSE)</f>
        <v>Outros</v>
      </c>
      <c r="F32" s="281"/>
      <c r="G32" s="215" t="str">
        <f>VLOOKUP(B32,INSUMOS!$A:$I,5,FALSE)</f>
        <v>H</v>
      </c>
      <c r="H32" s="218">
        <v>1</v>
      </c>
      <c r="I32" s="217">
        <f>VLOOKUP(B32,INSUMOS!$A:$I,8,FALSE)</f>
        <v>2.1800000000000002</v>
      </c>
      <c r="J32" s="217">
        <f t="shared" si="11"/>
        <v>2.1800000000000002</v>
      </c>
      <c r="K32" s="4"/>
      <c r="L32" s="149">
        <f t="shared" si="7"/>
        <v>2</v>
      </c>
      <c r="M32" s="156">
        <f t="shared" si="1"/>
        <v>2.1800000000000002</v>
      </c>
      <c r="N32" s="157" t="str">
        <f t="shared" si="2"/>
        <v/>
      </c>
      <c r="O32" s="157">
        <f t="shared" si="10"/>
        <v>2.1800000000000002</v>
      </c>
      <c r="P32" s="158" t="str">
        <f t="shared" si="4"/>
        <v/>
      </c>
      <c r="Q32" s="157" t="str">
        <f t="shared" si="8"/>
        <v/>
      </c>
      <c r="R32" s="157" t="str">
        <f>IF(P32&lt;&gt;"",SUMIF(L32:L132,L32,O32:O132),"")</f>
        <v/>
      </c>
    </row>
    <row r="33" spans="1:29" ht="25.5" x14ac:dyDescent="0.2">
      <c r="A33" s="243" t="s">
        <v>30</v>
      </c>
      <c r="B33" s="216" t="s">
        <v>201</v>
      </c>
      <c r="C33" s="243" t="str">
        <f>VLOOKUP(B33,INSUMOS!$A:$I,2,FALSE)</f>
        <v>SINAPI</v>
      </c>
      <c r="D33" s="243" t="str">
        <f>VLOOKUP(B33,INSUMOS!$A:$I,3,FALSE)</f>
        <v>EPI - FAMILIA ELETRICISTA - HORISTA (ENCARGOS COMPLEMENTARES - COLETADO CAIXA)</v>
      </c>
      <c r="E33" s="281" t="str">
        <f>VLOOKUP(B33,INSUMOS!$A:$I,4,FALSE)</f>
        <v>Equipamento</v>
      </c>
      <c r="F33" s="281"/>
      <c r="G33" s="215" t="str">
        <f>VLOOKUP(B33,INSUMOS!$A:$I,5,FALSE)</f>
        <v>H</v>
      </c>
      <c r="H33" s="218">
        <v>1</v>
      </c>
      <c r="I33" s="217">
        <f>VLOOKUP(B33,INSUMOS!$A:$I,8,FALSE)</f>
        <v>0.93</v>
      </c>
      <c r="J33" s="217">
        <f t="shared" si="11"/>
        <v>0.93</v>
      </c>
      <c r="K33" s="4"/>
      <c r="L33" s="149">
        <f t="shared" si="7"/>
        <v>2</v>
      </c>
      <c r="M33" s="156">
        <f t="shared" si="1"/>
        <v>0.93</v>
      </c>
      <c r="N33" s="157" t="str">
        <f t="shared" si="2"/>
        <v/>
      </c>
      <c r="O33" s="157">
        <f t="shared" si="10"/>
        <v>0.93</v>
      </c>
      <c r="P33" s="158" t="str">
        <f t="shared" si="4"/>
        <v/>
      </c>
      <c r="Q33" s="157" t="str">
        <f t="shared" si="8"/>
        <v/>
      </c>
      <c r="R33" s="157" t="str">
        <f t="shared" si="9"/>
        <v/>
      </c>
    </row>
    <row r="34" spans="1:29" ht="15" customHeight="1" x14ac:dyDescent="0.2">
      <c r="A34" s="243" t="s">
        <v>30</v>
      </c>
      <c r="B34" s="216" t="s">
        <v>89</v>
      </c>
      <c r="C34" s="243" t="str">
        <f>VLOOKUP(B34,INSUMOS!$A:$I,2,FALSE)</f>
        <v>SINAPI</v>
      </c>
      <c r="D34" s="243" t="str">
        <f>VLOOKUP(B34,INSUMOS!$A:$I,3,FALSE)</f>
        <v>EXAMES - HORISTA (COLETADO CAIXA)</v>
      </c>
      <c r="E34" s="281" t="str">
        <f>VLOOKUP(B34,INSUMOS!$A:$I,4,FALSE)</f>
        <v>Outros</v>
      </c>
      <c r="F34" s="281"/>
      <c r="G34" s="215" t="str">
        <f>VLOOKUP(B34,INSUMOS!$A:$I,5,FALSE)</f>
        <v>H</v>
      </c>
      <c r="H34" s="218">
        <v>1</v>
      </c>
      <c r="I34" s="217">
        <f>VLOOKUP(B34,INSUMOS!$A:$I,8,FALSE)</f>
        <v>0.35</v>
      </c>
      <c r="J34" s="217">
        <f t="shared" si="11"/>
        <v>0.35</v>
      </c>
      <c r="K34" s="4"/>
      <c r="L34" s="149">
        <f t="shared" si="7"/>
        <v>2</v>
      </c>
      <c r="M34" s="156">
        <f t="shared" si="1"/>
        <v>0.35</v>
      </c>
      <c r="N34" s="157" t="str">
        <f t="shared" si="2"/>
        <v/>
      </c>
      <c r="O34" s="157">
        <f t="shared" si="10"/>
        <v>0.35</v>
      </c>
      <c r="P34" s="158" t="str">
        <f t="shared" si="4"/>
        <v/>
      </c>
      <c r="Q34" s="157" t="str">
        <f t="shared" si="8"/>
        <v/>
      </c>
      <c r="R34" s="157" t="str">
        <f t="shared" si="9"/>
        <v/>
      </c>
    </row>
    <row r="35" spans="1:29" ht="15" customHeight="1" x14ac:dyDescent="0.2">
      <c r="A35" s="243" t="s">
        <v>30</v>
      </c>
      <c r="B35" s="216" t="s">
        <v>205</v>
      </c>
      <c r="C35" s="243" t="str">
        <f>VLOOKUP(B35,INSUMOS!$A:$I,2,FALSE)</f>
        <v>SINAPI</v>
      </c>
      <c r="D35" s="243" t="str">
        <f>VLOOKUP(B35,INSUMOS!$A:$I,3,FALSE)</f>
        <v>FERRAMENTAS - FAMILIA ELETRICISTA - HORISTA (ENCARGOS COMPLEMENTARES - COLETADO CAIXA)</v>
      </c>
      <c r="E35" s="281" t="str">
        <f>VLOOKUP(B35,INSUMOS!$A:$I,4,FALSE)</f>
        <v>Equipamento</v>
      </c>
      <c r="F35" s="281"/>
      <c r="G35" s="215" t="str">
        <f>VLOOKUP(B35,INSUMOS!$A:$I,5,FALSE)</f>
        <v>H</v>
      </c>
      <c r="H35" s="218">
        <v>1</v>
      </c>
      <c r="I35" s="217">
        <f>VLOOKUP(B35,INSUMOS!$A:$I,8,FALSE)</f>
        <v>0.55000000000000004</v>
      </c>
      <c r="J35" s="217">
        <f t="shared" si="11"/>
        <v>0.55000000000000004</v>
      </c>
      <c r="K35" s="4"/>
      <c r="L35" s="149">
        <f t="shared" si="7"/>
        <v>2</v>
      </c>
      <c r="M35" s="156">
        <f t="shared" si="1"/>
        <v>0.55000000000000004</v>
      </c>
      <c r="N35" s="157" t="str">
        <f t="shared" si="2"/>
        <v/>
      </c>
      <c r="O35" s="157">
        <f t="shared" si="10"/>
        <v>0.55000000000000004</v>
      </c>
      <c r="P35" s="158" t="str">
        <f t="shared" si="4"/>
        <v/>
      </c>
      <c r="Q35" s="157" t="str">
        <f t="shared" si="8"/>
        <v/>
      </c>
      <c r="R35" s="157" t="str">
        <f t="shared" si="9"/>
        <v/>
      </c>
    </row>
    <row r="36" spans="1:29" x14ac:dyDescent="0.2">
      <c r="A36" s="243" t="s">
        <v>30</v>
      </c>
      <c r="B36" s="216" t="s">
        <v>91</v>
      </c>
      <c r="C36" s="243" t="str">
        <f>VLOOKUP(B36,INSUMOS!$A:$I,2,FALSE)</f>
        <v>SINAPI</v>
      </c>
      <c r="D36" s="243" t="str">
        <f>VLOOKUP(B36,INSUMOS!$A:$I,3,FALSE)</f>
        <v>SEGURO - HORISTA (COLETADO CAIXA)</v>
      </c>
      <c r="E36" s="281" t="str">
        <f>VLOOKUP(B36,INSUMOS!$A:$I,4,FALSE)</f>
        <v>Taxas</v>
      </c>
      <c r="F36" s="281"/>
      <c r="G36" s="215" t="str">
        <f>VLOOKUP(B36,INSUMOS!$A:$I,5,FALSE)</f>
        <v>H</v>
      </c>
      <c r="H36" s="218">
        <v>1</v>
      </c>
      <c r="I36" s="217">
        <f>VLOOKUP(B36,INSUMOS!$A:$I,8,FALSE)</f>
        <v>7.0000000000000007E-2</v>
      </c>
      <c r="J36" s="217">
        <f t="shared" si="11"/>
        <v>7.0000000000000007E-2</v>
      </c>
      <c r="K36" s="4"/>
      <c r="L36" s="149">
        <f t="shared" si="7"/>
        <v>2</v>
      </c>
      <c r="M36" s="156">
        <f t="shared" si="1"/>
        <v>7.0000000000000007E-2</v>
      </c>
      <c r="N36" s="157" t="str">
        <f t="shared" si="2"/>
        <v/>
      </c>
      <c r="O36" s="157">
        <f t="shared" si="10"/>
        <v>7.0000000000000007E-2</v>
      </c>
      <c r="P36" s="158" t="str">
        <f t="shared" si="4"/>
        <v/>
      </c>
      <c r="Q36" s="157" t="str">
        <f t="shared" si="8"/>
        <v/>
      </c>
      <c r="R36" s="157" t="str">
        <f t="shared" si="9"/>
        <v/>
      </c>
    </row>
    <row r="37" spans="1:29" x14ac:dyDescent="0.2">
      <c r="A37" s="243" t="s">
        <v>30</v>
      </c>
      <c r="B37" s="216" t="s">
        <v>92</v>
      </c>
      <c r="C37" s="243" t="str">
        <f>VLOOKUP(B37,INSUMOS!$A:$I,2,FALSE)</f>
        <v>SINAPI</v>
      </c>
      <c r="D37" s="243" t="str">
        <f>VLOOKUP(B37,INSUMOS!$A:$I,3,FALSE)</f>
        <v>TRANSPORTE - HORISTA (COLETADO CAIXA)</v>
      </c>
      <c r="E37" s="281" t="str">
        <f>VLOOKUP(B37,INSUMOS!$A:$I,4,FALSE)</f>
        <v>Serviços</v>
      </c>
      <c r="F37" s="281"/>
      <c r="G37" s="215" t="str">
        <f>VLOOKUP(B37,INSUMOS!$A:$I,5,FALSE)</f>
        <v>H</v>
      </c>
      <c r="H37" s="218">
        <v>1</v>
      </c>
      <c r="I37" s="217">
        <f>VLOOKUP(B37,INSUMOS!$A:$I,8,FALSE)</f>
        <v>0.92</v>
      </c>
      <c r="J37" s="217">
        <f t="shared" si="11"/>
        <v>0.92</v>
      </c>
      <c r="K37" s="4"/>
      <c r="L37" s="149">
        <f t="shared" si="7"/>
        <v>2</v>
      </c>
      <c r="M37" s="156">
        <f t="shared" si="1"/>
        <v>0.92</v>
      </c>
      <c r="N37" s="157" t="str">
        <f t="shared" si="2"/>
        <v/>
      </c>
      <c r="O37" s="157">
        <f t="shared" si="10"/>
        <v>0.92</v>
      </c>
      <c r="P37" s="158" t="str">
        <f t="shared" si="4"/>
        <v/>
      </c>
      <c r="Q37" s="157" t="str">
        <f t="shared" si="8"/>
        <v/>
      </c>
      <c r="R37" s="157" t="str">
        <f t="shared" si="9"/>
        <v/>
      </c>
    </row>
    <row r="38" spans="1:29" ht="38.25" customHeight="1" x14ac:dyDescent="0.2">
      <c r="A38" s="246"/>
      <c r="B38" s="246"/>
      <c r="C38" s="246"/>
      <c r="D38" s="246"/>
      <c r="E38" s="246"/>
      <c r="F38" s="222"/>
      <c r="G38" s="246"/>
      <c r="H38" s="222"/>
      <c r="I38" s="246"/>
      <c r="J38" s="222"/>
      <c r="K38" s="4"/>
      <c r="L38" s="149">
        <f t="shared" si="7"/>
        <v>2</v>
      </c>
      <c r="M38" s="156" t="str">
        <f t="shared" si="1"/>
        <v/>
      </c>
      <c r="N38" s="157" t="str">
        <f t="shared" si="2"/>
        <v/>
      </c>
      <c r="O38" s="157" t="str">
        <f t="shared" si="10"/>
        <v/>
      </c>
      <c r="P38" s="158" t="str">
        <f t="shared" si="4"/>
        <v/>
      </c>
      <c r="Q38" s="157" t="str">
        <f t="shared" si="8"/>
        <v/>
      </c>
      <c r="R38" s="157" t="str">
        <f t="shared" si="9"/>
        <v/>
      </c>
    </row>
    <row r="39" spans="1:29" ht="38.25" customHeight="1" thickBot="1" x14ac:dyDescent="0.25">
      <c r="A39" s="246"/>
      <c r="B39" s="246"/>
      <c r="C39" s="246"/>
      <c r="D39" s="246"/>
      <c r="E39" s="246"/>
      <c r="F39" s="222"/>
      <c r="G39" s="246"/>
      <c r="H39" s="282"/>
      <c r="I39" s="282"/>
      <c r="J39" s="222"/>
      <c r="K39" s="4"/>
      <c r="L39" s="149">
        <f t="shared" si="7"/>
        <v>2</v>
      </c>
      <c r="M39" s="156" t="str">
        <f t="shared" si="1"/>
        <v/>
      </c>
      <c r="N39" s="157" t="str">
        <f t="shared" si="2"/>
        <v/>
      </c>
      <c r="O39" s="157" t="str">
        <f t="shared" si="10"/>
        <v/>
      </c>
      <c r="P39" s="158" t="str">
        <f t="shared" si="4"/>
        <v/>
      </c>
      <c r="Q39" s="157" t="str">
        <f t="shared" si="8"/>
        <v/>
      </c>
      <c r="R39" s="157" t="str">
        <f t="shared" si="9"/>
        <v/>
      </c>
    </row>
    <row r="40" spans="1:29" ht="15" thickTop="1" x14ac:dyDescent="0.2">
      <c r="A40" s="210"/>
      <c r="B40" s="210"/>
      <c r="C40" s="210"/>
      <c r="D40" s="210"/>
      <c r="E40" s="210"/>
      <c r="F40" s="210"/>
      <c r="G40" s="210"/>
      <c r="H40" s="210"/>
      <c r="I40" s="210"/>
      <c r="J40" s="210"/>
      <c r="K40" s="4"/>
      <c r="L40" s="149">
        <f t="shared" si="7"/>
        <v>2</v>
      </c>
      <c r="M40" s="156" t="str">
        <f t="shared" si="1"/>
        <v/>
      </c>
      <c r="N40" s="157" t="str">
        <f t="shared" si="2"/>
        <v/>
      </c>
      <c r="O40" s="157" t="str">
        <f t="shared" si="10"/>
        <v/>
      </c>
      <c r="P40" s="158" t="str">
        <f t="shared" si="4"/>
        <v/>
      </c>
      <c r="Q40" s="157" t="str">
        <f t="shared" si="8"/>
        <v/>
      </c>
      <c r="R40" s="157" t="str">
        <f t="shared" si="9"/>
        <v/>
      </c>
      <c r="Y40" s="159"/>
      <c r="Z40" s="159"/>
      <c r="AA40" s="159"/>
      <c r="AB40" s="159"/>
      <c r="AC40" s="159"/>
    </row>
    <row r="41" spans="1:29" ht="15" x14ac:dyDescent="0.2">
      <c r="A41" s="245"/>
      <c r="B41" s="203" t="s">
        <v>1</v>
      </c>
      <c r="C41" s="245" t="s">
        <v>2</v>
      </c>
      <c r="D41" s="245" t="s">
        <v>3</v>
      </c>
      <c r="E41" s="284" t="s">
        <v>17</v>
      </c>
      <c r="F41" s="284"/>
      <c r="G41" s="202" t="s">
        <v>4</v>
      </c>
      <c r="H41" s="203" t="s">
        <v>5</v>
      </c>
      <c r="I41" s="203" t="s">
        <v>6</v>
      </c>
      <c r="J41" s="203" t="s">
        <v>7</v>
      </c>
      <c r="K41" s="4"/>
      <c r="L41" s="149">
        <f t="shared" si="7"/>
        <v>3</v>
      </c>
      <c r="M41" s="156" t="str">
        <f t="shared" si="1"/>
        <v/>
      </c>
      <c r="N41" s="157" t="str">
        <f t="shared" si="2"/>
        <v/>
      </c>
      <c r="O41" s="157" t="str">
        <f t="shared" si="10"/>
        <v/>
      </c>
      <c r="P41" s="158" t="str">
        <f t="shared" si="4"/>
        <v/>
      </c>
      <c r="Q41" s="157" t="str">
        <f t="shared" si="8"/>
        <v/>
      </c>
      <c r="R41" s="157" t="str">
        <f t="shared" si="9"/>
        <v/>
      </c>
      <c r="Y41" s="159"/>
      <c r="Z41" s="159"/>
      <c r="AA41" s="159"/>
      <c r="AB41" s="159"/>
      <c r="AC41" s="159"/>
    </row>
    <row r="42" spans="1:29" ht="15" customHeight="1" x14ac:dyDescent="0.2">
      <c r="A42" s="247" t="s">
        <v>18</v>
      </c>
      <c r="B42" s="207" t="s">
        <v>97</v>
      </c>
      <c r="C42" s="247" t="s">
        <v>8</v>
      </c>
      <c r="D42" s="247" t="s">
        <v>74</v>
      </c>
      <c r="E42" s="285" t="s">
        <v>44</v>
      </c>
      <c r="F42" s="285"/>
      <c r="G42" s="206" t="s">
        <v>46</v>
      </c>
      <c r="H42" s="209">
        <v>1</v>
      </c>
      <c r="I42" s="208">
        <f>SUMIF(L:L,$L42,M:M)</f>
        <v>0.33</v>
      </c>
      <c r="J42" s="208">
        <f>TRUNC(H42*I42,2)</f>
        <v>0.33</v>
      </c>
      <c r="K42" s="4"/>
      <c r="L42" s="149">
        <f t="shared" si="7"/>
        <v>3</v>
      </c>
      <c r="M42" s="156" t="str">
        <f t="shared" si="1"/>
        <v/>
      </c>
      <c r="N42" s="157" t="str">
        <f t="shared" si="2"/>
        <v/>
      </c>
      <c r="O42" s="157" t="str">
        <f t="shared" si="10"/>
        <v/>
      </c>
      <c r="P42" s="158" t="str">
        <f t="shared" si="4"/>
        <v xml:space="preserve"> 88831 </v>
      </c>
      <c r="Q42" s="157">
        <f t="shared" si="8"/>
        <v>0</v>
      </c>
      <c r="R42" s="157">
        <f t="shared" si="9"/>
        <v>0.33</v>
      </c>
      <c r="Y42" s="159"/>
      <c r="Z42" s="159"/>
      <c r="AA42" s="159"/>
      <c r="AB42" s="159"/>
      <c r="AC42" s="159"/>
    </row>
    <row r="43" spans="1:29" ht="15" customHeight="1" x14ac:dyDescent="0.2">
      <c r="A43" s="244" t="s">
        <v>20</v>
      </c>
      <c r="B43" s="212" t="s">
        <v>98</v>
      </c>
      <c r="C43" s="244" t="s">
        <v>8</v>
      </c>
      <c r="D43" s="244" t="s">
        <v>79</v>
      </c>
      <c r="E43" s="283" t="s">
        <v>44</v>
      </c>
      <c r="F43" s="283"/>
      <c r="G43" s="211" t="s">
        <v>27</v>
      </c>
      <c r="H43" s="214">
        <v>1</v>
      </c>
      <c r="I43" s="213">
        <f>SUMIFS(J:J,A:A,"Composição",B:B,$B43)</f>
        <v>0.27</v>
      </c>
      <c r="J43" s="213">
        <f>TRUNC(H43*I43,2)</f>
        <v>0.27</v>
      </c>
      <c r="K43" s="4"/>
      <c r="L43" s="149">
        <f t="shared" si="7"/>
        <v>3</v>
      </c>
      <c r="M43" s="156">
        <f t="shared" si="1"/>
        <v>0.27</v>
      </c>
      <c r="N43" s="157" t="str">
        <f t="shared" si="2"/>
        <v/>
      </c>
      <c r="O43" s="157">
        <f t="shared" si="10"/>
        <v>0.27</v>
      </c>
      <c r="P43" s="158" t="str">
        <f t="shared" si="4"/>
        <v/>
      </c>
      <c r="Q43" s="157" t="str">
        <f t="shared" si="8"/>
        <v/>
      </c>
      <c r="R43" s="157" t="str">
        <f t="shared" si="9"/>
        <v/>
      </c>
      <c r="Y43" s="159"/>
      <c r="Z43" s="159"/>
      <c r="AA43" s="159"/>
      <c r="AB43" s="159"/>
      <c r="AC43" s="159"/>
    </row>
    <row r="44" spans="1:29" ht="38.25" customHeight="1" x14ac:dyDescent="0.2">
      <c r="A44" s="244" t="s">
        <v>20</v>
      </c>
      <c r="B44" s="212" t="s">
        <v>99</v>
      </c>
      <c r="C44" s="244" t="s">
        <v>8</v>
      </c>
      <c r="D44" s="244" t="s">
        <v>78</v>
      </c>
      <c r="E44" s="283" t="s">
        <v>44</v>
      </c>
      <c r="F44" s="283"/>
      <c r="G44" s="211" t="s">
        <v>27</v>
      </c>
      <c r="H44" s="214">
        <v>1</v>
      </c>
      <c r="I44" s="213">
        <f>SUMIFS(J:J,A:A,"Composição",B:B,$B44)</f>
        <v>0.06</v>
      </c>
      <c r="J44" s="213">
        <f>TRUNC(H44*I44,2)</f>
        <v>0.06</v>
      </c>
      <c r="K44" s="4"/>
      <c r="L44" s="149">
        <f t="shared" si="7"/>
        <v>3</v>
      </c>
      <c r="M44" s="156">
        <f t="shared" si="1"/>
        <v>0.06</v>
      </c>
      <c r="N44" s="157" t="str">
        <f t="shared" si="2"/>
        <v/>
      </c>
      <c r="O44" s="157">
        <f t="shared" si="10"/>
        <v>0.06</v>
      </c>
      <c r="P44" s="158" t="str">
        <f t="shared" si="4"/>
        <v/>
      </c>
      <c r="Q44" s="157" t="str">
        <f t="shared" si="8"/>
        <v/>
      </c>
      <c r="R44" s="157" t="str">
        <f t="shared" si="9"/>
        <v/>
      </c>
      <c r="Y44" s="159"/>
      <c r="Z44" s="159"/>
      <c r="AA44" s="159"/>
      <c r="AB44" s="159"/>
      <c r="AC44" s="159"/>
    </row>
    <row r="45" spans="1:29" x14ac:dyDescent="0.2">
      <c r="A45" s="246"/>
      <c r="B45" s="246"/>
      <c r="C45" s="246"/>
      <c r="D45" s="246"/>
      <c r="E45" s="246"/>
      <c r="F45" s="222"/>
      <c r="G45" s="246"/>
      <c r="H45" s="222"/>
      <c r="I45" s="246"/>
      <c r="J45" s="222"/>
      <c r="K45" s="4"/>
      <c r="L45" s="149">
        <f t="shared" si="7"/>
        <v>3</v>
      </c>
      <c r="M45" s="156" t="str">
        <f t="shared" si="1"/>
        <v/>
      </c>
      <c r="N45" s="157" t="str">
        <f t="shared" si="2"/>
        <v/>
      </c>
      <c r="O45" s="157" t="str">
        <f t="shared" si="10"/>
        <v/>
      </c>
      <c r="P45" s="158" t="str">
        <f t="shared" si="4"/>
        <v/>
      </c>
      <c r="Q45" s="157" t="str">
        <f t="shared" si="8"/>
        <v/>
      </c>
      <c r="R45" s="157" t="str">
        <f t="shared" si="9"/>
        <v/>
      </c>
      <c r="Y45" s="159"/>
      <c r="Z45" s="159"/>
      <c r="AA45" s="159"/>
      <c r="AB45" s="159"/>
      <c r="AC45" s="159"/>
    </row>
    <row r="46" spans="1:29" ht="15" customHeight="1" thickBot="1" x14ac:dyDescent="0.25">
      <c r="A46" s="246"/>
      <c r="B46" s="246"/>
      <c r="C46" s="246"/>
      <c r="D46" s="246"/>
      <c r="E46" s="246"/>
      <c r="F46" s="222"/>
      <c r="G46" s="246"/>
      <c r="H46" s="282"/>
      <c r="I46" s="282"/>
      <c r="J46" s="222"/>
      <c r="K46" s="4"/>
      <c r="L46" s="149">
        <f t="shared" si="7"/>
        <v>3</v>
      </c>
      <c r="M46" s="156" t="str">
        <f t="shared" si="1"/>
        <v/>
      </c>
      <c r="N46" s="157" t="str">
        <f t="shared" si="2"/>
        <v/>
      </c>
      <c r="O46" s="157" t="str">
        <f t="shared" si="10"/>
        <v/>
      </c>
      <c r="P46" s="158" t="str">
        <f t="shared" si="4"/>
        <v/>
      </c>
      <c r="Q46" s="157" t="str">
        <f t="shared" si="8"/>
        <v/>
      </c>
      <c r="R46" s="157" t="str">
        <f t="shared" si="9"/>
        <v/>
      </c>
      <c r="Y46" s="159"/>
      <c r="Z46" s="159"/>
      <c r="AA46" s="159"/>
      <c r="AB46" s="159"/>
      <c r="AC46" s="159"/>
    </row>
    <row r="47" spans="1:29" ht="38.25" customHeight="1" thickTop="1" x14ac:dyDescent="0.2">
      <c r="A47" s="210"/>
      <c r="B47" s="210"/>
      <c r="C47" s="210"/>
      <c r="D47" s="210"/>
      <c r="E47" s="210"/>
      <c r="F47" s="210"/>
      <c r="G47" s="210"/>
      <c r="H47" s="210"/>
      <c r="I47" s="210"/>
      <c r="J47" s="210"/>
      <c r="K47" s="4"/>
      <c r="L47" s="149">
        <f t="shared" si="7"/>
        <v>3</v>
      </c>
      <c r="M47" s="156" t="str">
        <f t="shared" si="1"/>
        <v/>
      </c>
      <c r="N47" s="157" t="str">
        <f t="shared" si="2"/>
        <v/>
      </c>
      <c r="O47" s="157" t="str">
        <f t="shared" si="10"/>
        <v/>
      </c>
      <c r="P47" s="158" t="str">
        <f t="shared" si="4"/>
        <v/>
      </c>
      <c r="Q47" s="157" t="str">
        <f t="shared" si="8"/>
        <v/>
      </c>
      <c r="R47" s="157" t="str">
        <f t="shared" si="9"/>
        <v/>
      </c>
      <c r="Y47" s="159"/>
      <c r="Z47" s="159"/>
      <c r="AA47" s="159"/>
      <c r="AB47" s="159"/>
      <c r="AC47" s="159"/>
    </row>
    <row r="48" spans="1:29" ht="38.25" customHeight="1" x14ac:dyDescent="0.2">
      <c r="A48" s="245"/>
      <c r="B48" s="203" t="s">
        <v>1</v>
      </c>
      <c r="C48" s="245" t="s">
        <v>2</v>
      </c>
      <c r="D48" s="245" t="s">
        <v>3</v>
      </c>
      <c r="E48" s="284" t="s">
        <v>17</v>
      </c>
      <c r="F48" s="284"/>
      <c r="G48" s="202" t="s">
        <v>4</v>
      </c>
      <c r="H48" s="203" t="s">
        <v>5</v>
      </c>
      <c r="I48" s="203" t="s">
        <v>6</v>
      </c>
      <c r="J48" s="203" t="s">
        <v>7</v>
      </c>
      <c r="K48" s="4"/>
      <c r="L48" s="149">
        <f t="shared" si="7"/>
        <v>4</v>
      </c>
      <c r="M48" s="156" t="str">
        <f t="shared" si="1"/>
        <v/>
      </c>
      <c r="N48" s="157" t="str">
        <f t="shared" si="2"/>
        <v/>
      </c>
      <c r="O48" s="157" t="str">
        <f t="shared" si="10"/>
        <v/>
      </c>
      <c r="P48" s="158" t="str">
        <f t="shared" si="4"/>
        <v/>
      </c>
      <c r="Q48" s="157" t="str">
        <f t="shared" si="8"/>
        <v/>
      </c>
      <c r="R48" s="157" t="str">
        <f t="shared" si="9"/>
        <v/>
      </c>
      <c r="Y48" s="159"/>
      <c r="Z48" s="159"/>
      <c r="AA48" s="159"/>
      <c r="AB48" s="159"/>
      <c r="AC48" s="159"/>
    </row>
    <row r="49" spans="1:29" ht="38.25" customHeight="1" x14ac:dyDescent="0.2">
      <c r="A49" s="247" t="s">
        <v>18</v>
      </c>
      <c r="B49" s="207" t="s">
        <v>96</v>
      </c>
      <c r="C49" s="247" t="s">
        <v>8</v>
      </c>
      <c r="D49" s="247" t="s">
        <v>75</v>
      </c>
      <c r="E49" s="285" t="s">
        <v>44</v>
      </c>
      <c r="F49" s="285"/>
      <c r="G49" s="206" t="s">
        <v>45</v>
      </c>
      <c r="H49" s="209">
        <v>1</v>
      </c>
      <c r="I49" s="208">
        <f>SUMIF(L:L,$L49,M:M)</f>
        <v>1.83</v>
      </c>
      <c r="J49" s="208">
        <f>TRUNC(H49*I49,2)</f>
        <v>1.83</v>
      </c>
      <c r="K49" s="4"/>
      <c r="L49" s="149">
        <f t="shared" si="7"/>
        <v>4</v>
      </c>
      <c r="M49" s="156" t="str">
        <f t="shared" si="1"/>
        <v/>
      </c>
      <c r="N49" s="157" t="str">
        <f t="shared" si="2"/>
        <v/>
      </c>
      <c r="O49" s="157" t="str">
        <f t="shared" si="10"/>
        <v/>
      </c>
      <c r="P49" s="158" t="str">
        <f t="shared" si="4"/>
        <v xml:space="preserve"> 88830 </v>
      </c>
      <c r="Q49" s="157">
        <f t="shared" si="8"/>
        <v>0</v>
      </c>
      <c r="R49" s="157">
        <f t="shared" si="9"/>
        <v>1.83</v>
      </c>
      <c r="Y49" s="159"/>
      <c r="Z49" s="159"/>
      <c r="AA49" s="159"/>
      <c r="AB49" s="159"/>
      <c r="AC49" s="159"/>
    </row>
    <row r="50" spans="1:29" ht="15" customHeight="1" x14ac:dyDescent="0.2">
      <c r="A50" s="244" t="s">
        <v>20</v>
      </c>
      <c r="B50" s="212" t="s">
        <v>98</v>
      </c>
      <c r="C50" s="244" t="s">
        <v>8</v>
      </c>
      <c r="D50" s="244" t="s">
        <v>79</v>
      </c>
      <c r="E50" s="283" t="s">
        <v>44</v>
      </c>
      <c r="F50" s="283"/>
      <c r="G50" s="211" t="s">
        <v>27</v>
      </c>
      <c r="H50" s="214">
        <v>1</v>
      </c>
      <c r="I50" s="213">
        <f>SUMIFS(J:J,A:A,"Composição",B:B,$B50)</f>
        <v>0.27</v>
      </c>
      <c r="J50" s="213">
        <f>TRUNC(H50*I50,2)</f>
        <v>0.27</v>
      </c>
      <c r="K50" s="4"/>
      <c r="L50" s="149">
        <f t="shared" si="7"/>
        <v>4</v>
      </c>
      <c r="M50" s="156">
        <f t="shared" si="1"/>
        <v>0.27</v>
      </c>
      <c r="N50" s="157" t="str">
        <f t="shared" si="2"/>
        <v/>
      </c>
      <c r="O50" s="157">
        <f t="shared" si="10"/>
        <v>0.27</v>
      </c>
      <c r="P50" s="158" t="str">
        <f t="shared" si="4"/>
        <v/>
      </c>
      <c r="Q50" s="157" t="str">
        <f t="shared" si="8"/>
        <v/>
      </c>
      <c r="R50" s="157" t="str">
        <f t="shared" si="9"/>
        <v/>
      </c>
      <c r="Y50" s="159"/>
      <c r="Z50" s="159"/>
      <c r="AA50" s="159"/>
      <c r="AB50" s="159"/>
      <c r="AC50" s="159"/>
    </row>
    <row r="51" spans="1:29" ht="38.25" customHeight="1" x14ac:dyDescent="0.2">
      <c r="A51" s="244" t="s">
        <v>20</v>
      </c>
      <c r="B51" s="212" t="s">
        <v>99</v>
      </c>
      <c r="C51" s="244" t="s">
        <v>8</v>
      </c>
      <c r="D51" s="244" t="s">
        <v>78</v>
      </c>
      <c r="E51" s="283" t="s">
        <v>44</v>
      </c>
      <c r="F51" s="283"/>
      <c r="G51" s="211" t="s">
        <v>27</v>
      </c>
      <c r="H51" s="214">
        <v>1</v>
      </c>
      <c r="I51" s="213">
        <f>SUMIFS(J:J,A:A,"Composição",B:B,$B51)</f>
        <v>0.06</v>
      </c>
      <c r="J51" s="213">
        <f>TRUNC(H51*I51,2)</f>
        <v>0.06</v>
      </c>
      <c r="K51" s="4"/>
      <c r="L51" s="149">
        <f t="shared" si="7"/>
        <v>4</v>
      </c>
      <c r="M51" s="156">
        <f t="shared" si="1"/>
        <v>0.06</v>
      </c>
      <c r="N51" s="157" t="str">
        <f t="shared" si="2"/>
        <v/>
      </c>
      <c r="O51" s="157">
        <f t="shared" si="10"/>
        <v>0.06</v>
      </c>
      <c r="P51" s="158" t="str">
        <f t="shared" si="4"/>
        <v/>
      </c>
      <c r="Q51" s="157" t="str">
        <f t="shared" si="8"/>
        <v/>
      </c>
      <c r="R51" s="157" t="str">
        <f t="shared" si="9"/>
        <v/>
      </c>
    </row>
    <row r="52" spans="1:29" ht="15" customHeight="1" x14ac:dyDescent="0.2">
      <c r="A52" s="244" t="s">
        <v>20</v>
      </c>
      <c r="B52" s="212" t="s">
        <v>100</v>
      </c>
      <c r="C52" s="244" t="s">
        <v>8</v>
      </c>
      <c r="D52" s="244" t="s">
        <v>77</v>
      </c>
      <c r="E52" s="283" t="s">
        <v>44</v>
      </c>
      <c r="F52" s="283"/>
      <c r="G52" s="211" t="s">
        <v>27</v>
      </c>
      <c r="H52" s="214">
        <v>1</v>
      </c>
      <c r="I52" s="213">
        <f>SUMIFS(J:J,A:A,"Composição",B:B,$B52)</f>
        <v>0.25</v>
      </c>
      <c r="J52" s="213">
        <f>TRUNC(H52*I52,2)</f>
        <v>0.25</v>
      </c>
      <c r="K52" s="4"/>
      <c r="L52" s="149">
        <f t="shared" si="7"/>
        <v>4</v>
      </c>
      <c r="M52" s="156">
        <f t="shared" si="1"/>
        <v>0.25</v>
      </c>
      <c r="N52" s="157" t="str">
        <f t="shared" si="2"/>
        <v/>
      </c>
      <c r="O52" s="157">
        <f t="shared" si="10"/>
        <v>0.25</v>
      </c>
      <c r="P52" s="158" t="str">
        <f t="shared" si="4"/>
        <v/>
      </c>
      <c r="Q52" s="157" t="str">
        <f t="shared" si="8"/>
        <v/>
      </c>
      <c r="R52" s="157" t="str">
        <f t="shared" si="9"/>
        <v/>
      </c>
    </row>
    <row r="53" spans="1:29" ht="14.25" customHeight="1" x14ac:dyDescent="0.2">
      <c r="A53" s="244" t="s">
        <v>20</v>
      </c>
      <c r="B53" s="212" t="s">
        <v>101</v>
      </c>
      <c r="C53" s="244" t="s">
        <v>8</v>
      </c>
      <c r="D53" s="244" t="s">
        <v>76</v>
      </c>
      <c r="E53" s="283" t="s">
        <v>44</v>
      </c>
      <c r="F53" s="283"/>
      <c r="G53" s="211" t="s">
        <v>27</v>
      </c>
      <c r="H53" s="214">
        <v>1</v>
      </c>
      <c r="I53" s="213">
        <f>SUMIFS(J:J,A:A,"Composição",B:B,$B53)</f>
        <v>1.25</v>
      </c>
      <c r="J53" s="213">
        <f>TRUNC(H53*I53,2)</f>
        <v>1.25</v>
      </c>
      <c r="K53" s="4"/>
      <c r="L53" s="149">
        <f t="shared" si="7"/>
        <v>4</v>
      </c>
      <c r="M53" s="156">
        <f t="shared" si="1"/>
        <v>1.25</v>
      </c>
      <c r="N53" s="157" t="str">
        <f t="shared" si="2"/>
        <v/>
      </c>
      <c r="O53" s="157">
        <f t="shared" si="10"/>
        <v>1.25</v>
      </c>
      <c r="P53" s="158" t="str">
        <f t="shared" si="4"/>
        <v/>
      </c>
      <c r="Q53" s="157" t="str">
        <f t="shared" si="8"/>
        <v/>
      </c>
      <c r="R53" s="157" t="str">
        <f t="shared" si="9"/>
        <v/>
      </c>
    </row>
    <row r="54" spans="1:29" ht="14.25" customHeight="1" x14ac:dyDescent="0.2">
      <c r="A54" s="246"/>
      <c r="B54" s="246"/>
      <c r="C54" s="246"/>
      <c r="D54" s="246"/>
      <c r="E54" s="246"/>
      <c r="F54" s="222"/>
      <c r="G54" s="246"/>
      <c r="H54" s="222"/>
      <c r="I54" s="246"/>
      <c r="J54" s="222"/>
      <c r="K54" s="4"/>
      <c r="L54" s="149">
        <f t="shared" si="7"/>
        <v>4</v>
      </c>
      <c r="M54" s="156" t="str">
        <f t="shared" si="1"/>
        <v/>
      </c>
      <c r="N54" s="157" t="str">
        <f t="shared" si="2"/>
        <v/>
      </c>
      <c r="O54" s="157" t="str">
        <f t="shared" si="10"/>
        <v/>
      </c>
      <c r="P54" s="158" t="str">
        <f t="shared" si="4"/>
        <v/>
      </c>
      <c r="Q54" s="157" t="str">
        <f t="shared" si="8"/>
        <v/>
      </c>
      <c r="R54" s="157" t="str">
        <f t="shared" si="9"/>
        <v/>
      </c>
    </row>
    <row r="55" spans="1:29" ht="15" customHeight="1" thickBot="1" x14ac:dyDescent="0.25">
      <c r="A55" s="246"/>
      <c r="B55" s="246"/>
      <c r="C55" s="246"/>
      <c r="D55" s="246"/>
      <c r="E55" s="246"/>
      <c r="F55" s="222"/>
      <c r="G55" s="246"/>
      <c r="H55" s="282"/>
      <c r="I55" s="282"/>
      <c r="J55" s="222"/>
      <c r="K55" s="4"/>
      <c r="L55" s="149">
        <f t="shared" si="7"/>
        <v>4</v>
      </c>
      <c r="M55" s="156" t="str">
        <f t="shared" si="1"/>
        <v/>
      </c>
      <c r="N55" s="157" t="str">
        <f t="shared" si="2"/>
        <v/>
      </c>
      <c r="O55" s="157" t="str">
        <f t="shared" si="10"/>
        <v/>
      </c>
      <c r="P55" s="158" t="str">
        <f t="shared" si="4"/>
        <v/>
      </c>
      <c r="Q55" s="157" t="str">
        <f t="shared" si="8"/>
        <v/>
      </c>
      <c r="R55" s="157" t="str">
        <f t="shared" si="9"/>
        <v/>
      </c>
    </row>
    <row r="56" spans="1:29" ht="38.25" customHeight="1" thickTop="1" x14ac:dyDescent="0.2">
      <c r="A56" s="210"/>
      <c r="B56" s="210"/>
      <c r="C56" s="210"/>
      <c r="D56" s="210"/>
      <c r="E56" s="210"/>
      <c r="F56" s="210"/>
      <c r="G56" s="210"/>
      <c r="H56" s="210"/>
      <c r="I56" s="210"/>
      <c r="J56" s="210"/>
      <c r="K56" s="4"/>
      <c r="L56" s="149">
        <f t="shared" si="7"/>
        <v>4</v>
      </c>
      <c r="M56" s="156" t="str">
        <f t="shared" si="1"/>
        <v/>
      </c>
      <c r="N56" s="157" t="str">
        <f t="shared" si="2"/>
        <v/>
      </c>
      <c r="O56" s="157" t="str">
        <f t="shared" si="10"/>
        <v/>
      </c>
      <c r="P56" s="158" t="str">
        <f t="shared" si="4"/>
        <v/>
      </c>
      <c r="Q56" s="157" t="str">
        <f t="shared" si="8"/>
        <v/>
      </c>
      <c r="R56" s="157" t="str">
        <f t="shared" si="9"/>
        <v/>
      </c>
    </row>
    <row r="57" spans="1:29" ht="14.25" customHeight="1" x14ac:dyDescent="0.2">
      <c r="A57" s="245"/>
      <c r="B57" s="203" t="s">
        <v>1</v>
      </c>
      <c r="C57" s="245" t="s">
        <v>2</v>
      </c>
      <c r="D57" s="245" t="s">
        <v>3</v>
      </c>
      <c r="E57" s="284" t="s">
        <v>17</v>
      </c>
      <c r="F57" s="284"/>
      <c r="G57" s="202" t="s">
        <v>4</v>
      </c>
      <c r="H57" s="203" t="s">
        <v>5</v>
      </c>
      <c r="I57" s="203" t="s">
        <v>6</v>
      </c>
      <c r="J57" s="203" t="s">
        <v>7</v>
      </c>
      <c r="K57" s="4"/>
      <c r="L57" s="149">
        <f t="shared" si="7"/>
        <v>5</v>
      </c>
      <c r="M57" s="156" t="str">
        <f t="shared" si="1"/>
        <v/>
      </c>
      <c r="N57" s="157" t="str">
        <f t="shared" si="2"/>
        <v/>
      </c>
      <c r="O57" s="157" t="str">
        <f t="shared" si="10"/>
        <v/>
      </c>
      <c r="P57" s="158" t="str">
        <f t="shared" si="4"/>
        <v/>
      </c>
      <c r="Q57" s="157" t="str">
        <f t="shared" si="8"/>
        <v/>
      </c>
      <c r="R57" s="157" t="str">
        <f t="shared" si="9"/>
        <v/>
      </c>
    </row>
    <row r="58" spans="1:29" ht="38.25" customHeight="1" x14ac:dyDescent="0.2">
      <c r="A58" s="247" t="s">
        <v>18</v>
      </c>
      <c r="B58" s="207" t="s">
        <v>98</v>
      </c>
      <c r="C58" s="247" t="s">
        <v>8</v>
      </c>
      <c r="D58" s="247" t="s">
        <v>79</v>
      </c>
      <c r="E58" s="285" t="s">
        <v>44</v>
      </c>
      <c r="F58" s="285"/>
      <c r="G58" s="206" t="s">
        <v>27</v>
      </c>
      <c r="H58" s="209">
        <v>1</v>
      </c>
      <c r="I58" s="208">
        <f>SUMIF(L:L,$L58,M:M)</f>
        <v>0.27</v>
      </c>
      <c r="J58" s="208">
        <f>TRUNC(H58*I58,2)</f>
        <v>0.27</v>
      </c>
      <c r="K58" s="4"/>
      <c r="L58" s="149">
        <f t="shared" si="7"/>
        <v>5</v>
      </c>
      <c r="M58" s="156" t="str">
        <f t="shared" si="1"/>
        <v/>
      </c>
      <c r="N58" s="157" t="str">
        <f t="shared" si="2"/>
        <v/>
      </c>
      <c r="O58" s="157" t="str">
        <f t="shared" si="10"/>
        <v/>
      </c>
      <c r="P58" s="158" t="str">
        <f t="shared" si="4"/>
        <v xml:space="preserve"> 88826 </v>
      </c>
      <c r="Q58" s="157">
        <f t="shared" si="8"/>
        <v>0</v>
      </c>
      <c r="R58" s="157">
        <f t="shared" si="9"/>
        <v>0.27</v>
      </c>
    </row>
    <row r="59" spans="1:29" ht="25.5" customHeight="1" x14ac:dyDescent="0.2">
      <c r="A59" s="243" t="s">
        <v>30</v>
      </c>
      <c r="B59" s="216" t="s">
        <v>102</v>
      </c>
      <c r="C59" s="243" t="str">
        <f>VLOOKUP(B59,INSUMOS!$A:$I,2,FALSE)</f>
        <v>SINAPI</v>
      </c>
      <c r="D59" s="243" t="str">
        <f>VLOOKUP(B59,INSUMOS!$A:$I,3,FALSE)</f>
        <v>BETONEIRA CAPACIDADE NOMINAL 400 L, CAPACIDADE DE MISTURA  280 L, MOTOR ELETRICO TRIFASICO 220/380 V POTENCIA 2 CV, SEM CARREGADOR</v>
      </c>
      <c r="E59" s="281" t="str">
        <f>VLOOKUP(B59,INSUMOS!$A:$I,4,FALSE)</f>
        <v>Equipamento</v>
      </c>
      <c r="F59" s="281"/>
      <c r="G59" s="215" t="str">
        <f>VLOOKUP(B59,INSUMOS!$A:$I,5,FALSE)</f>
        <v>UN</v>
      </c>
      <c r="H59" s="218">
        <v>6.3999999999999997E-5</v>
      </c>
      <c r="I59" s="217">
        <f>VLOOKUP(B59,INSUMOS!$A:$I,8,FALSE)</f>
        <v>4300</v>
      </c>
      <c r="J59" s="217">
        <f>TRUNC(H59*I59,2)</f>
        <v>0.27</v>
      </c>
      <c r="K59" s="4"/>
      <c r="L59" s="149">
        <f t="shared" si="7"/>
        <v>5</v>
      </c>
      <c r="M59" s="156">
        <f t="shared" si="1"/>
        <v>0.27</v>
      </c>
      <c r="N59" s="157" t="str">
        <f t="shared" si="2"/>
        <v/>
      </c>
      <c r="O59" s="157">
        <f t="shared" si="10"/>
        <v>0.27</v>
      </c>
      <c r="P59" s="158" t="str">
        <f t="shared" si="4"/>
        <v/>
      </c>
      <c r="Q59" s="157" t="str">
        <f t="shared" si="8"/>
        <v/>
      </c>
      <c r="R59" s="157" t="str">
        <f t="shared" si="9"/>
        <v/>
      </c>
    </row>
    <row r="60" spans="1:29" x14ac:dyDescent="0.2">
      <c r="A60" s="246"/>
      <c r="B60" s="246"/>
      <c r="C60" s="246"/>
      <c r="D60" s="246"/>
      <c r="E60" s="246"/>
      <c r="F60" s="222"/>
      <c r="G60" s="246"/>
      <c r="H60" s="222"/>
      <c r="I60" s="246"/>
      <c r="J60" s="222"/>
      <c r="K60" s="4"/>
      <c r="L60" s="149">
        <f t="shared" si="7"/>
        <v>5</v>
      </c>
      <c r="M60" s="156" t="str">
        <f t="shared" si="1"/>
        <v/>
      </c>
      <c r="N60" s="157" t="str">
        <f t="shared" si="2"/>
        <v/>
      </c>
      <c r="O60" s="157" t="str">
        <f t="shared" si="10"/>
        <v/>
      </c>
      <c r="P60" s="158" t="str">
        <f t="shared" si="4"/>
        <v/>
      </c>
      <c r="Q60" s="157" t="str">
        <f t="shared" si="8"/>
        <v/>
      </c>
      <c r="R60" s="157" t="str">
        <f t="shared" si="9"/>
        <v/>
      </c>
    </row>
    <row r="61" spans="1:29" ht="15" customHeight="1" thickBot="1" x14ac:dyDescent="0.25">
      <c r="A61" s="246"/>
      <c r="B61" s="246"/>
      <c r="C61" s="246"/>
      <c r="D61" s="246"/>
      <c r="E61" s="246"/>
      <c r="F61" s="222"/>
      <c r="G61" s="246"/>
      <c r="H61" s="282"/>
      <c r="I61" s="282"/>
      <c r="J61" s="222"/>
      <c r="K61" s="4"/>
      <c r="L61" s="149">
        <f t="shared" si="7"/>
        <v>5</v>
      </c>
      <c r="M61" s="156" t="str">
        <f t="shared" si="1"/>
        <v/>
      </c>
      <c r="N61" s="157" t="str">
        <f t="shared" si="2"/>
        <v/>
      </c>
      <c r="O61" s="157" t="str">
        <f t="shared" si="10"/>
        <v/>
      </c>
      <c r="P61" s="158" t="str">
        <f t="shared" si="4"/>
        <v/>
      </c>
      <c r="Q61" s="157" t="str">
        <f t="shared" si="8"/>
        <v/>
      </c>
      <c r="R61" s="157" t="str">
        <f t="shared" si="9"/>
        <v/>
      </c>
    </row>
    <row r="62" spans="1:29" ht="25.5" customHeight="1" thickTop="1" x14ac:dyDescent="0.2">
      <c r="A62" s="210"/>
      <c r="B62" s="210"/>
      <c r="C62" s="210"/>
      <c r="D62" s="210"/>
      <c r="E62" s="210"/>
      <c r="F62" s="210"/>
      <c r="G62" s="210"/>
      <c r="H62" s="210"/>
      <c r="I62" s="210"/>
      <c r="J62" s="210"/>
      <c r="K62" s="4"/>
      <c r="L62" s="149">
        <f t="shared" si="7"/>
        <v>5</v>
      </c>
      <c r="M62" s="156" t="str">
        <f t="shared" si="1"/>
        <v/>
      </c>
      <c r="N62" s="157" t="str">
        <f t="shared" si="2"/>
        <v/>
      </c>
      <c r="O62" s="157" t="str">
        <f t="shared" si="10"/>
        <v/>
      </c>
      <c r="P62" s="158" t="str">
        <f t="shared" si="4"/>
        <v/>
      </c>
      <c r="Q62" s="157" t="str">
        <f t="shared" si="8"/>
        <v/>
      </c>
      <c r="R62" s="157" t="str">
        <f t="shared" si="9"/>
        <v/>
      </c>
    </row>
    <row r="63" spans="1:29" ht="15" customHeight="1" x14ac:dyDescent="0.2">
      <c r="A63" s="245"/>
      <c r="B63" s="203" t="s">
        <v>1</v>
      </c>
      <c r="C63" s="245" t="s">
        <v>2</v>
      </c>
      <c r="D63" s="245" t="s">
        <v>3</v>
      </c>
      <c r="E63" s="284" t="s">
        <v>17</v>
      </c>
      <c r="F63" s="284"/>
      <c r="G63" s="202" t="s">
        <v>4</v>
      </c>
      <c r="H63" s="203" t="s">
        <v>5</v>
      </c>
      <c r="I63" s="203" t="s">
        <v>6</v>
      </c>
      <c r="J63" s="203" t="s">
        <v>7</v>
      </c>
      <c r="K63" s="4"/>
      <c r="L63" s="149">
        <f t="shared" si="7"/>
        <v>6</v>
      </c>
      <c r="M63" s="156" t="str">
        <f t="shared" si="1"/>
        <v/>
      </c>
      <c r="N63" s="157" t="str">
        <f t="shared" si="2"/>
        <v/>
      </c>
      <c r="O63" s="157" t="str">
        <f t="shared" si="10"/>
        <v/>
      </c>
      <c r="P63" s="158" t="str">
        <f t="shared" si="4"/>
        <v/>
      </c>
      <c r="Q63" s="157" t="str">
        <f t="shared" si="8"/>
        <v/>
      </c>
      <c r="R63" s="157" t="str">
        <f t="shared" si="9"/>
        <v/>
      </c>
    </row>
    <row r="64" spans="1:29" ht="38.25" customHeight="1" x14ac:dyDescent="0.2">
      <c r="A64" s="247" t="s">
        <v>18</v>
      </c>
      <c r="B64" s="207" t="s">
        <v>99</v>
      </c>
      <c r="C64" s="247" t="s">
        <v>8</v>
      </c>
      <c r="D64" s="247" t="s">
        <v>78</v>
      </c>
      <c r="E64" s="285" t="s">
        <v>44</v>
      </c>
      <c r="F64" s="285"/>
      <c r="G64" s="206" t="s">
        <v>27</v>
      </c>
      <c r="H64" s="209">
        <v>1</v>
      </c>
      <c r="I64" s="208">
        <f>SUMIF(L:L,$L64,M:M)</f>
        <v>0.06</v>
      </c>
      <c r="J64" s="208">
        <f>TRUNC(H64*I64,2)</f>
        <v>0.06</v>
      </c>
      <c r="K64" s="4"/>
      <c r="L64" s="149">
        <f t="shared" si="7"/>
        <v>6</v>
      </c>
      <c r="M64" s="156" t="str">
        <f t="shared" si="1"/>
        <v/>
      </c>
      <c r="N64" s="157" t="str">
        <f t="shared" si="2"/>
        <v/>
      </c>
      <c r="O64" s="157" t="str">
        <f t="shared" si="10"/>
        <v/>
      </c>
      <c r="P64" s="158" t="str">
        <f t="shared" si="4"/>
        <v xml:space="preserve"> 88827 </v>
      </c>
      <c r="Q64" s="157">
        <f t="shared" si="8"/>
        <v>0</v>
      </c>
      <c r="R64" s="157">
        <f t="shared" si="9"/>
        <v>0.06</v>
      </c>
    </row>
    <row r="65" spans="1:18" ht="38.25" customHeight="1" x14ac:dyDescent="0.2">
      <c r="A65" s="243" t="s">
        <v>30</v>
      </c>
      <c r="B65" s="216" t="s">
        <v>102</v>
      </c>
      <c r="C65" s="243" t="str">
        <f>VLOOKUP(B65,INSUMOS!$A:$I,2,FALSE)</f>
        <v>SINAPI</v>
      </c>
      <c r="D65" s="243" t="str">
        <f>VLOOKUP(B65,INSUMOS!$A:$I,3,FALSE)</f>
        <v>BETONEIRA CAPACIDADE NOMINAL 400 L, CAPACIDADE DE MISTURA  280 L, MOTOR ELETRICO TRIFASICO 220/380 V POTENCIA 2 CV, SEM CARREGADOR</v>
      </c>
      <c r="E65" s="281" t="str">
        <f>VLOOKUP(B65,INSUMOS!$A:$I,4,FALSE)</f>
        <v>Equipamento</v>
      </c>
      <c r="F65" s="281"/>
      <c r="G65" s="215" t="str">
        <f>VLOOKUP(B65,INSUMOS!$A:$I,5,FALSE)</f>
        <v>UN</v>
      </c>
      <c r="H65" s="218">
        <v>1.4399999999999999E-5</v>
      </c>
      <c r="I65" s="217">
        <f>VLOOKUP(B65,INSUMOS!$A:$I,8,FALSE)</f>
        <v>4300</v>
      </c>
      <c r="J65" s="217">
        <f>TRUNC(H65*I65,2)</f>
        <v>0.06</v>
      </c>
      <c r="K65" s="4"/>
      <c r="L65" s="149">
        <f t="shared" si="7"/>
        <v>6</v>
      </c>
      <c r="M65" s="156">
        <f t="shared" si="1"/>
        <v>0.06</v>
      </c>
      <c r="N65" s="157" t="str">
        <f t="shared" si="2"/>
        <v/>
      </c>
      <c r="O65" s="157">
        <f t="shared" si="10"/>
        <v>0.06</v>
      </c>
      <c r="P65" s="158" t="str">
        <f t="shared" si="4"/>
        <v/>
      </c>
      <c r="Q65" s="157" t="str">
        <f t="shared" si="8"/>
        <v/>
      </c>
      <c r="R65" s="157" t="str">
        <f t="shared" si="9"/>
        <v/>
      </c>
    </row>
    <row r="66" spans="1:18" ht="38.25" customHeight="1" x14ac:dyDescent="0.2">
      <c r="A66" s="246"/>
      <c r="B66" s="246"/>
      <c r="C66" s="246"/>
      <c r="D66" s="246"/>
      <c r="E66" s="246"/>
      <c r="F66" s="222"/>
      <c r="G66" s="246"/>
      <c r="H66" s="222"/>
      <c r="I66" s="246"/>
      <c r="J66" s="222"/>
      <c r="K66" s="4"/>
      <c r="L66" s="149">
        <f t="shared" si="7"/>
        <v>6</v>
      </c>
      <c r="M66" s="156" t="str">
        <f t="shared" si="1"/>
        <v/>
      </c>
      <c r="N66" s="157" t="str">
        <f t="shared" si="2"/>
        <v/>
      </c>
      <c r="O66" s="157" t="str">
        <f t="shared" si="10"/>
        <v/>
      </c>
      <c r="P66" s="158" t="str">
        <f t="shared" si="4"/>
        <v/>
      </c>
      <c r="Q66" s="157" t="str">
        <f t="shared" si="8"/>
        <v/>
      </c>
      <c r="R66" s="157" t="str">
        <f t="shared" si="9"/>
        <v/>
      </c>
    </row>
    <row r="67" spans="1:18" ht="15" customHeight="1" thickBot="1" x14ac:dyDescent="0.25">
      <c r="A67" s="246"/>
      <c r="B67" s="246"/>
      <c r="C67" s="246"/>
      <c r="D67" s="246"/>
      <c r="E67" s="246"/>
      <c r="F67" s="222"/>
      <c r="G67" s="246"/>
      <c r="H67" s="282"/>
      <c r="I67" s="282"/>
      <c r="J67" s="222"/>
      <c r="K67" s="4"/>
      <c r="L67" s="149">
        <f t="shared" si="7"/>
        <v>6</v>
      </c>
      <c r="M67" s="156" t="str">
        <f t="shared" si="1"/>
        <v/>
      </c>
      <c r="N67" s="157" t="str">
        <f t="shared" si="2"/>
        <v/>
      </c>
      <c r="O67" s="157" t="str">
        <f t="shared" si="10"/>
        <v/>
      </c>
      <c r="P67" s="158" t="str">
        <f t="shared" si="4"/>
        <v/>
      </c>
      <c r="Q67" s="157" t="str">
        <f t="shared" si="8"/>
        <v/>
      </c>
      <c r="R67" s="157" t="str">
        <f t="shared" si="9"/>
        <v/>
      </c>
    </row>
    <row r="68" spans="1:18" ht="14.25" customHeight="1" thickTop="1" x14ac:dyDescent="0.2">
      <c r="A68" s="210"/>
      <c r="B68" s="210"/>
      <c r="C68" s="210"/>
      <c r="D68" s="210"/>
      <c r="E68" s="210"/>
      <c r="F68" s="210"/>
      <c r="G68" s="210"/>
      <c r="H68" s="210"/>
      <c r="I68" s="210"/>
      <c r="J68" s="210"/>
      <c r="K68" s="4"/>
      <c r="L68" s="149">
        <f t="shared" si="7"/>
        <v>6</v>
      </c>
      <c r="M68" s="156" t="str">
        <f t="shared" si="1"/>
        <v/>
      </c>
      <c r="N68" s="157" t="str">
        <f t="shared" si="2"/>
        <v/>
      </c>
      <c r="O68" s="157" t="str">
        <f t="shared" si="10"/>
        <v/>
      </c>
      <c r="P68" s="158" t="str">
        <f t="shared" si="4"/>
        <v/>
      </c>
      <c r="Q68" s="157" t="str">
        <f t="shared" si="8"/>
        <v/>
      </c>
      <c r="R68" s="157" t="str">
        <f t="shared" si="9"/>
        <v/>
      </c>
    </row>
    <row r="69" spans="1:18" ht="25.5" customHeight="1" x14ac:dyDescent="0.2">
      <c r="A69" s="245"/>
      <c r="B69" s="203" t="s">
        <v>1</v>
      </c>
      <c r="C69" s="245" t="s">
        <v>2</v>
      </c>
      <c r="D69" s="245" t="s">
        <v>3</v>
      </c>
      <c r="E69" s="284" t="s">
        <v>17</v>
      </c>
      <c r="F69" s="284"/>
      <c r="G69" s="202" t="s">
        <v>4</v>
      </c>
      <c r="H69" s="203" t="s">
        <v>5</v>
      </c>
      <c r="I69" s="203" t="s">
        <v>6</v>
      </c>
      <c r="J69" s="203" t="s">
        <v>7</v>
      </c>
      <c r="K69" s="4"/>
      <c r="L69" s="149">
        <f t="shared" si="7"/>
        <v>7</v>
      </c>
      <c r="M69" s="156" t="str">
        <f t="shared" si="1"/>
        <v/>
      </c>
      <c r="N69" s="157" t="str">
        <f t="shared" si="2"/>
        <v/>
      </c>
      <c r="O69" s="157" t="str">
        <f t="shared" si="10"/>
        <v/>
      </c>
      <c r="P69" s="158" t="str">
        <f t="shared" si="4"/>
        <v/>
      </c>
      <c r="Q69" s="157" t="str">
        <f t="shared" si="8"/>
        <v/>
      </c>
      <c r="R69" s="157" t="str">
        <f t="shared" si="9"/>
        <v/>
      </c>
    </row>
    <row r="70" spans="1:18" ht="38.25" customHeight="1" x14ac:dyDescent="0.2">
      <c r="A70" s="247" t="s">
        <v>18</v>
      </c>
      <c r="B70" s="207" t="s">
        <v>100</v>
      </c>
      <c r="C70" s="247" t="s">
        <v>8</v>
      </c>
      <c r="D70" s="247" t="s">
        <v>77</v>
      </c>
      <c r="E70" s="285" t="s">
        <v>44</v>
      </c>
      <c r="F70" s="285"/>
      <c r="G70" s="206" t="s">
        <v>27</v>
      </c>
      <c r="H70" s="209">
        <v>1</v>
      </c>
      <c r="I70" s="208">
        <f>SUMIF(L:L,$L70,M:M)</f>
        <v>0.25</v>
      </c>
      <c r="J70" s="208">
        <f>TRUNC(H70*I70,2)</f>
        <v>0.25</v>
      </c>
      <c r="K70" s="4"/>
      <c r="L70" s="149">
        <f t="shared" si="7"/>
        <v>7</v>
      </c>
      <c r="M70" s="156" t="str">
        <f t="shared" si="1"/>
        <v/>
      </c>
      <c r="N70" s="157" t="str">
        <f t="shared" si="2"/>
        <v/>
      </c>
      <c r="O70" s="157" t="str">
        <f t="shared" si="10"/>
        <v/>
      </c>
      <c r="P70" s="158" t="str">
        <f t="shared" si="4"/>
        <v xml:space="preserve"> 88828 </v>
      </c>
      <c r="Q70" s="157">
        <f t="shared" si="8"/>
        <v>0</v>
      </c>
      <c r="R70" s="157">
        <f t="shared" si="9"/>
        <v>0.25</v>
      </c>
    </row>
    <row r="71" spans="1:18" ht="38.25" customHeight="1" x14ac:dyDescent="0.2">
      <c r="A71" s="243" t="s">
        <v>30</v>
      </c>
      <c r="B71" s="216" t="s">
        <v>102</v>
      </c>
      <c r="C71" s="243" t="str">
        <f>VLOOKUP(B71,INSUMOS!$A:$I,2,FALSE)</f>
        <v>SINAPI</v>
      </c>
      <c r="D71" s="243" t="str">
        <f>VLOOKUP(B71,INSUMOS!$A:$I,3,FALSE)</f>
        <v>BETONEIRA CAPACIDADE NOMINAL 400 L, CAPACIDADE DE MISTURA  280 L, MOTOR ELETRICO TRIFASICO 220/380 V POTENCIA 2 CV, SEM CARREGADOR</v>
      </c>
      <c r="E71" s="281" t="str">
        <f>VLOOKUP(B71,INSUMOS!$A:$I,4,FALSE)</f>
        <v>Equipamento</v>
      </c>
      <c r="F71" s="281"/>
      <c r="G71" s="215" t="str">
        <f>VLOOKUP(B71,INSUMOS!$A:$I,5,FALSE)</f>
        <v>UN</v>
      </c>
      <c r="H71" s="218">
        <v>6.0000000000000002E-5</v>
      </c>
      <c r="I71" s="217">
        <f>VLOOKUP(B71,INSUMOS!$A:$I,8,FALSE)</f>
        <v>4300</v>
      </c>
      <c r="J71" s="217">
        <f>TRUNC(H71*I71,2)</f>
        <v>0.25</v>
      </c>
      <c r="K71" s="4"/>
      <c r="L71" s="149">
        <f t="shared" si="7"/>
        <v>7</v>
      </c>
      <c r="M71" s="156">
        <f t="shared" si="1"/>
        <v>0.25</v>
      </c>
      <c r="N71" s="157" t="str">
        <f t="shared" si="2"/>
        <v/>
      </c>
      <c r="O71" s="157">
        <f t="shared" si="10"/>
        <v>0.25</v>
      </c>
      <c r="P71" s="158" t="str">
        <f t="shared" si="4"/>
        <v/>
      </c>
      <c r="Q71" s="157" t="str">
        <f t="shared" si="8"/>
        <v/>
      </c>
      <c r="R71" s="157" t="str">
        <f t="shared" si="9"/>
        <v/>
      </c>
    </row>
    <row r="72" spans="1:18" ht="38.25" customHeight="1" x14ac:dyDescent="0.2">
      <c r="A72" s="246"/>
      <c r="B72" s="246"/>
      <c r="C72" s="246"/>
      <c r="D72" s="246"/>
      <c r="E72" s="246"/>
      <c r="F72" s="222"/>
      <c r="G72" s="246"/>
      <c r="H72" s="222"/>
      <c r="I72" s="246"/>
      <c r="J72" s="222"/>
      <c r="K72" s="4"/>
      <c r="L72" s="149">
        <f t="shared" si="7"/>
        <v>7</v>
      </c>
      <c r="M72" s="156" t="str">
        <f t="shared" si="1"/>
        <v/>
      </c>
      <c r="N72" s="157" t="str">
        <f t="shared" si="2"/>
        <v/>
      </c>
      <c r="O72" s="157" t="str">
        <f t="shared" si="10"/>
        <v/>
      </c>
      <c r="P72" s="158" t="str">
        <f t="shared" si="4"/>
        <v/>
      </c>
      <c r="Q72" s="157" t="str">
        <f t="shared" si="8"/>
        <v/>
      </c>
      <c r="R72" s="157" t="str">
        <f t="shared" si="9"/>
        <v/>
      </c>
    </row>
    <row r="73" spans="1:18" ht="14.25" customHeight="1" thickBot="1" x14ac:dyDescent="0.25">
      <c r="A73" s="246"/>
      <c r="B73" s="246"/>
      <c r="C73" s="246"/>
      <c r="D73" s="246"/>
      <c r="E73" s="246"/>
      <c r="F73" s="222"/>
      <c r="G73" s="246"/>
      <c r="H73" s="282"/>
      <c r="I73" s="282"/>
      <c r="J73" s="222"/>
      <c r="K73" s="4"/>
      <c r="L73" s="149">
        <f t="shared" si="7"/>
        <v>7</v>
      </c>
      <c r="M73" s="156" t="str">
        <f t="shared" si="1"/>
        <v/>
      </c>
      <c r="N73" s="157" t="str">
        <f t="shared" si="2"/>
        <v/>
      </c>
      <c r="O73" s="157" t="str">
        <f t="shared" si="10"/>
        <v/>
      </c>
      <c r="P73" s="158" t="str">
        <f t="shared" si="4"/>
        <v/>
      </c>
      <c r="Q73" s="157" t="str">
        <f t="shared" si="8"/>
        <v/>
      </c>
      <c r="R73" s="157" t="str">
        <f t="shared" si="9"/>
        <v/>
      </c>
    </row>
    <row r="74" spans="1:18" ht="25.5" customHeight="1" thickTop="1" x14ac:dyDescent="0.2">
      <c r="A74" s="210"/>
      <c r="B74" s="210"/>
      <c r="C74" s="210"/>
      <c r="D74" s="210"/>
      <c r="E74" s="210"/>
      <c r="F74" s="210"/>
      <c r="G74" s="210"/>
      <c r="H74" s="210"/>
      <c r="I74" s="210"/>
      <c r="J74" s="210"/>
      <c r="K74" s="4"/>
      <c r="L74" s="149">
        <f t="shared" si="7"/>
        <v>7</v>
      </c>
      <c r="M74" s="156" t="str">
        <f t="shared" si="1"/>
        <v/>
      </c>
      <c r="N74" s="157" t="str">
        <f t="shared" si="2"/>
        <v/>
      </c>
      <c r="O74" s="157" t="str">
        <f t="shared" si="10"/>
        <v/>
      </c>
      <c r="P74" s="158" t="str">
        <f t="shared" si="4"/>
        <v/>
      </c>
      <c r="Q74" s="157" t="str">
        <f t="shared" si="8"/>
        <v/>
      </c>
      <c r="R74" s="157" t="str">
        <f t="shared" si="9"/>
        <v/>
      </c>
    </row>
    <row r="75" spans="1:18" ht="25.5" customHeight="1" x14ac:dyDescent="0.2">
      <c r="A75" s="245"/>
      <c r="B75" s="203" t="s">
        <v>1</v>
      </c>
      <c r="C75" s="245" t="s">
        <v>2</v>
      </c>
      <c r="D75" s="245" t="s">
        <v>3</v>
      </c>
      <c r="E75" s="284" t="s">
        <v>17</v>
      </c>
      <c r="F75" s="284"/>
      <c r="G75" s="202" t="s">
        <v>4</v>
      </c>
      <c r="H75" s="203" t="s">
        <v>5</v>
      </c>
      <c r="I75" s="203" t="s">
        <v>6</v>
      </c>
      <c r="J75" s="203" t="s">
        <v>7</v>
      </c>
      <c r="K75" s="4"/>
      <c r="L75" s="149">
        <f t="shared" si="7"/>
        <v>8</v>
      </c>
      <c r="M75" s="156" t="str">
        <f t="shared" si="1"/>
        <v/>
      </c>
      <c r="N75" s="157" t="str">
        <f t="shared" si="2"/>
        <v/>
      </c>
      <c r="O75" s="157" t="str">
        <f t="shared" si="10"/>
        <v/>
      </c>
      <c r="P75" s="158" t="str">
        <f t="shared" si="4"/>
        <v/>
      </c>
      <c r="Q75" s="157" t="str">
        <f t="shared" si="8"/>
        <v/>
      </c>
      <c r="R75" s="157" t="str">
        <f t="shared" si="9"/>
        <v/>
      </c>
    </row>
    <row r="76" spans="1:18" ht="15" customHeight="1" x14ac:dyDescent="0.2">
      <c r="A76" s="247" t="s">
        <v>18</v>
      </c>
      <c r="B76" s="207" t="s">
        <v>101</v>
      </c>
      <c r="C76" s="247" t="s">
        <v>8</v>
      </c>
      <c r="D76" s="247" t="s">
        <v>76</v>
      </c>
      <c r="E76" s="285" t="s">
        <v>44</v>
      </c>
      <c r="F76" s="285"/>
      <c r="G76" s="206" t="s">
        <v>27</v>
      </c>
      <c r="H76" s="209">
        <v>1</v>
      </c>
      <c r="I76" s="208">
        <f>SUMIF(L:L,$L76,M:M)</f>
        <v>1.25</v>
      </c>
      <c r="J76" s="208">
        <f>TRUNC(H76*I76,2)</f>
        <v>1.25</v>
      </c>
      <c r="K76" s="4"/>
      <c r="L76" s="149">
        <f t="shared" si="7"/>
        <v>8</v>
      </c>
      <c r="M76" s="156" t="str">
        <f t="shared" si="1"/>
        <v/>
      </c>
      <c r="N76" s="157" t="str">
        <f t="shared" si="2"/>
        <v/>
      </c>
      <c r="O76" s="157" t="str">
        <f t="shared" si="10"/>
        <v/>
      </c>
      <c r="P76" s="158" t="str">
        <f t="shared" si="4"/>
        <v xml:space="preserve"> 88829 </v>
      </c>
      <c r="Q76" s="157">
        <f t="shared" si="8"/>
        <v>0</v>
      </c>
      <c r="R76" s="157">
        <f t="shared" si="9"/>
        <v>1.25</v>
      </c>
    </row>
    <row r="77" spans="1:18" ht="38.25" customHeight="1" x14ac:dyDescent="0.2">
      <c r="A77" s="243" t="s">
        <v>30</v>
      </c>
      <c r="B77" s="216" t="s">
        <v>103</v>
      </c>
      <c r="C77" s="243" t="str">
        <f>VLOOKUP(B77,INSUMOS!$A:$I,2,FALSE)</f>
        <v>SINAPI</v>
      </c>
      <c r="D77" s="243" t="str">
        <f>VLOOKUP(B77,INSUMOS!$A:$I,3,FALSE)</f>
        <v>ENERGIA ELETRICA ATE 2000 KWH INDUSTRIAL, SEM DEMANDA</v>
      </c>
      <c r="E77" s="281" t="str">
        <f>VLOOKUP(B77,INSUMOS!$A:$I,4,FALSE)</f>
        <v>Material</v>
      </c>
      <c r="F77" s="281"/>
      <c r="G77" s="215" t="str">
        <f>VLOOKUP(B77,INSUMOS!$A:$I,5,FALSE)</f>
        <v>KW/H</v>
      </c>
      <c r="H77" s="218">
        <v>1.25</v>
      </c>
      <c r="I77" s="217">
        <f>VLOOKUP(B77,INSUMOS!$A:$I,8,FALSE)</f>
        <v>1</v>
      </c>
      <c r="J77" s="217">
        <f>TRUNC(H77*I77,2)</f>
        <v>1.25</v>
      </c>
      <c r="K77" s="4"/>
      <c r="L77" s="149">
        <f t="shared" si="7"/>
        <v>8</v>
      </c>
      <c r="M77" s="156">
        <f t="shared" si="1"/>
        <v>1.25</v>
      </c>
      <c r="N77" s="157" t="str">
        <f t="shared" si="2"/>
        <v/>
      </c>
      <c r="O77" s="157">
        <f t="shared" si="10"/>
        <v>1.25</v>
      </c>
      <c r="P77" s="158" t="str">
        <f t="shared" si="4"/>
        <v/>
      </c>
      <c r="Q77" s="157" t="str">
        <f t="shared" si="8"/>
        <v/>
      </c>
      <c r="R77" s="157" t="str">
        <f t="shared" si="9"/>
        <v/>
      </c>
    </row>
    <row r="78" spans="1:18" ht="38.25" customHeight="1" x14ac:dyDescent="0.2">
      <c r="A78" s="246"/>
      <c r="B78" s="246"/>
      <c r="C78" s="246"/>
      <c r="D78" s="246"/>
      <c r="E78" s="246"/>
      <c r="F78" s="222"/>
      <c r="G78" s="246"/>
      <c r="H78" s="222"/>
      <c r="I78" s="246"/>
      <c r="J78" s="222"/>
      <c r="K78" s="4"/>
      <c r="L78" s="149">
        <f t="shared" si="7"/>
        <v>8</v>
      </c>
      <c r="M78" s="156" t="str">
        <f t="shared" si="1"/>
        <v/>
      </c>
      <c r="N78" s="157" t="str">
        <f t="shared" si="2"/>
        <v/>
      </c>
      <c r="O78" s="157" t="str">
        <f t="shared" si="10"/>
        <v/>
      </c>
      <c r="P78" s="158" t="str">
        <f t="shared" si="4"/>
        <v/>
      </c>
      <c r="Q78" s="157" t="str">
        <f t="shared" si="8"/>
        <v/>
      </c>
      <c r="R78" s="157" t="str">
        <f t="shared" si="9"/>
        <v/>
      </c>
    </row>
    <row r="79" spans="1:18" ht="38.25" customHeight="1" thickBot="1" x14ac:dyDescent="0.25">
      <c r="A79" s="246"/>
      <c r="B79" s="246"/>
      <c r="C79" s="246"/>
      <c r="D79" s="246"/>
      <c r="E79" s="246"/>
      <c r="F79" s="222"/>
      <c r="G79" s="246"/>
      <c r="H79" s="282"/>
      <c r="I79" s="282"/>
      <c r="J79" s="222"/>
      <c r="K79" s="4"/>
      <c r="L79" s="149">
        <f t="shared" si="7"/>
        <v>8</v>
      </c>
      <c r="M79" s="156" t="str">
        <f t="shared" si="1"/>
        <v/>
      </c>
      <c r="N79" s="157" t="str">
        <f t="shared" si="2"/>
        <v/>
      </c>
      <c r="O79" s="157" t="str">
        <f t="shared" si="10"/>
        <v/>
      </c>
      <c r="P79" s="158" t="str">
        <f t="shared" si="4"/>
        <v/>
      </c>
      <c r="Q79" s="157" t="str">
        <f t="shared" si="8"/>
        <v/>
      </c>
      <c r="R79" s="157" t="str">
        <f t="shared" si="9"/>
        <v/>
      </c>
    </row>
    <row r="80" spans="1:18" ht="38.25" customHeight="1" thickTop="1" x14ac:dyDescent="0.2">
      <c r="A80" s="210"/>
      <c r="B80" s="210"/>
      <c r="C80" s="210"/>
      <c r="D80" s="210"/>
      <c r="E80" s="210"/>
      <c r="F80" s="210"/>
      <c r="G80" s="210"/>
      <c r="H80" s="210"/>
      <c r="I80" s="210"/>
      <c r="J80" s="210"/>
      <c r="K80" s="4"/>
      <c r="L80" s="149">
        <f t="shared" si="7"/>
        <v>8</v>
      </c>
      <c r="M80" s="156" t="str">
        <f t="shared" ref="M80:M143" si="12">IF(OR(A80="Insumo",A80="Composição Auxiliar"),J80,"")</f>
        <v/>
      </c>
      <c r="N80" s="157" t="str">
        <f t="shared" ref="N80:N143" si="13">IF(E80="Mão de Obra",J80,"")</f>
        <v/>
      </c>
      <c r="O80" s="157" t="str">
        <f t="shared" si="10"/>
        <v/>
      </c>
      <c r="P80" s="158" t="str">
        <f t="shared" ref="P80:P143" si="14">IF(A80="Composição",B80,"")</f>
        <v/>
      </c>
      <c r="Q80" s="157" t="str">
        <f t="shared" si="8"/>
        <v/>
      </c>
      <c r="R80" s="157" t="str">
        <f t="shared" si="9"/>
        <v/>
      </c>
    </row>
    <row r="81" spans="1:18" ht="38.25" customHeight="1" x14ac:dyDescent="0.2">
      <c r="A81" s="245"/>
      <c r="B81" s="203" t="s">
        <v>1</v>
      </c>
      <c r="C81" s="245" t="s">
        <v>2</v>
      </c>
      <c r="D81" s="245" t="s">
        <v>3</v>
      </c>
      <c r="E81" s="284" t="s">
        <v>17</v>
      </c>
      <c r="F81" s="284"/>
      <c r="G81" s="202" t="s">
        <v>4</v>
      </c>
      <c r="H81" s="203" t="s">
        <v>5</v>
      </c>
      <c r="I81" s="203" t="s">
        <v>6</v>
      </c>
      <c r="J81" s="203" t="s">
        <v>7</v>
      </c>
      <c r="K81" s="4"/>
      <c r="L81" s="149">
        <f t="shared" ref="L81:L144" si="15">IF(AND(A82&lt;&gt;"",A81=""),L80+1,L80)</f>
        <v>9</v>
      </c>
      <c r="M81" s="156" t="str">
        <f t="shared" si="12"/>
        <v/>
      </c>
      <c r="N81" s="157" t="str">
        <f t="shared" si="13"/>
        <v/>
      </c>
      <c r="O81" s="157" t="str">
        <f t="shared" si="10"/>
        <v/>
      </c>
      <c r="P81" s="158" t="str">
        <f t="shared" si="14"/>
        <v/>
      </c>
      <c r="Q81" s="157" t="str">
        <f t="shared" si="8"/>
        <v/>
      </c>
      <c r="R81" s="157" t="str">
        <f t="shared" si="9"/>
        <v/>
      </c>
    </row>
    <row r="82" spans="1:18" ht="14.25" customHeight="1" x14ac:dyDescent="0.2">
      <c r="A82" s="247" t="s">
        <v>18</v>
      </c>
      <c r="B82" s="207" t="s">
        <v>24</v>
      </c>
      <c r="C82" s="247" t="s">
        <v>8</v>
      </c>
      <c r="D82" s="247" t="s">
        <v>25</v>
      </c>
      <c r="E82" s="285" t="s">
        <v>26</v>
      </c>
      <c r="F82" s="285"/>
      <c r="G82" s="206" t="s">
        <v>27</v>
      </c>
      <c r="H82" s="209">
        <v>1</v>
      </c>
      <c r="I82" s="208">
        <f>SUMIF(L:L,$L82,M:M)</f>
        <v>20.180000000000003</v>
      </c>
      <c r="J82" s="208">
        <f t="shared" ref="J82:J90" si="16">TRUNC(H82*I82,2)</f>
        <v>20.18</v>
      </c>
      <c r="K82" s="4"/>
      <c r="L82" s="149">
        <f t="shared" si="15"/>
        <v>9</v>
      </c>
      <c r="M82" s="156" t="str">
        <f t="shared" si="12"/>
        <v/>
      </c>
      <c r="N82" s="157" t="str">
        <f t="shared" si="13"/>
        <v/>
      </c>
      <c r="O82" s="157" t="str">
        <f t="shared" si="10"/>
        <v/>
      </c>
      <c r="P82" s="158" t="str">
        <f t="shared" si="14"/>
        <v xml:space="preserve"> 88262 </v>
      </c>
      <c r="Q82" s="157">
        <f t="shared" ref="Q82:Q127" si="17">IF(P82&lt;&gt;"",SUMIF(L82:L182,L82,N82:N182),"")</f>
        <v>15.13</v>
      </c>
      <c r="R82" s="157">
        <f t="shared" ref="R82:R127" si="18">IF(P82&lt;&gt;"",SUMIF(L82:L182,L82,O82:O182),"")</f>
        <v>5.0500000000000007</v>
      </c>
    </row>
    <row r="83" spans="1:18" ht="14.25" customHeight="1" x14ac:dyDescent="0.2">
      <c r="A83" s="244" t="s">
        <v>20</v>
      </c>
      <c r="B83" s="212" t="s">
        <v>104</v>
      </c>
      <c r="C83" s="244" t="s">
        <v>8</v>
      </c>
      <c r="D83" s="244" t="s">
        <v>72</v>
      </c>
      <c r="E83" s="283" t="s">
        <v>26</v>
      </c>
      <c r="F83" s="283"/>
      <c r="G83" s="211" t="s">
        <v>27</v>
      </c>
      <c r="H83" s="214">
        <v>1</v>
      </c>
      <c r="I83" s="213">
        <f>SUMIFS(J:J,A:A,"Composição",B:B,$B83)</f>
        <v>0.11</v>
      </c>
      <c r="J83" s="213">
        <f t="shared" si="16"/>
        <v>0.11</v>
      </c>
      <c r="K83" s="4"/>
      <c r="L83" s="149">
        <f t="shared" si="15"/>
        <v>9</v>
      </c>
      <c r="M83" s="156">
        <f t="shared" si="12"/>
        <v>0.11</v>
      </c>
      <c r="N83" s="157" t="str">
        <f t="shared" si="13"/>
        <v/>
      </c>
      <c r="O83" s="157">
        <f t="shared" si="10"/>
        <v>0.11</v>
      </c>
      <c r="P83" s="158" t="str">
        <f t="shared" si="14"/>
        <v/>
      </c>
      <c r="Q83" s="157" t="str">
        <f t="shared" si="17"/>
        <v/>
      </c>
      <c r="R83" s="157" t="str">
        <f t="shared" si="18"/>
        <v/>
      </c>
    </row>
    <row r="84" spans="1:18" ht="25.5" customHeight="1" x14ac:dyDescent="0.2">
      <c r="A84" s="243" t="s">
        <v>30</v>
      </c>
      <c r="B84" s="216" t="s">
        <v>87</v>
      </c>
      <c r="C84" s="243" t="str">
        <f>VLOOKUP(B84,INSUMOS!$A:$I,2,FALSE)</f>
        <v>SINAPI</v>
      </c>
      <c r="D84" s="243" t="str">
        <f>VLOOKUP(B84,INSUMOS!$A:$I,3,FALSE)</f>
        <v>ALIMENTACAO - HORISTA (COLETADO CAIXA)</v>
      </c>
      <c r="E84" s="281" t="str">
        <f>VLOOKUP(B84,INSUMOS!$A:$I,4,FALSE)</f>
        <v>Outros</v>
      </c>
      <c r="F84" s="281"/>
      <c r="G84" s="215" t="str">
        <f>VLOOKUP(B84,INSUMOS!$A:$I,5,FALSE)</f>
        <v>H</v>
      </c>
      <c r="H84" s="218">
        <v>1</v>
      </c>
      <c r="I84" s="217">
        <f>VLOOKUP(B84,INSUMOS!$A:$I,8,FALSE)</f>
        <v>2.1800000000000002</v>
      </c>
      <c r="J84" s="217">
        <f t="shared" si="16"/>
        <v>2.1800000000000002</v>
      </c>
      <c r="K84" s="4"/>
      <c r="L84" s="149">
        <f t="shared" si="15"/>
        <v>9</v>
      </c>
      <c r="M84" s="156">
        <f t="shared" si="12"/>
        <v>2.1800000000000002</v>
      </c>
      <c r="N84" s="157" t="str">
        <f t="shared" si="13"/>
        <v/>
      </c>
      <c r="O84" s="157">
        <f t="shared" si="10"/>
        <v>2.1800000000000002</v>
      </c>
      <c r="P84" s="158" t="str">
        <f t="shared" si="14"/>
        <v/>
      </c>
      <c r="Q84" s="157" t="str">
        <f t="shared" si="17"/>
        <v/>
      </c>
      <c r="R84" s="157" t="str">
        <f t="shared" si="18"/>
        <v/>
      </c>
    </row>
    <row r="85" spans="1:18" ht="14.25" customHeight="1" x14ac:dyDescent="0.2">
      <c r="A85" s="243" t="s">
        <v>30</v>
      </c>
      <c r="B85" s="216" t="s">
        <v>105</v>
      </c>
      <c r="C85" s="243" t="str">
        <f>VLOOKUP(B85,INSUMOS!$A:$I,2,FALSE)</f>
        <v>SINAPI</v>
      </c>
      <c r="D85" s="243" t="str">
        <f>VLOOKUP(B85,INSUMOS!$A:$I,3,FALSE)</f>
        <v>CARPINTEIRO DE FORMAS</v>
      </c>
      <c r="E85" s="281" t="str">
        <f>VLOOKUP(B85,INSUMOS!$A:$I,4,FALSE)</f>
        <v>Mão de Obra</v>
      </c>
      <c r="F85" s="281"/>
      <c r="G85" s="215" t="str">
        <f>VLOOKUP(B85,INSUMOS!$A:$I,5,FALSE)</f>
        <v>H</v>
      </c>
      <c r="H85" s="218">
        <v>1</v>
      </c>
      <c r="I85" s="217">
        <f>VLOOKUP(B85,INSUMOS!$A:$I,8,FALSE)</f>
        <v>15.13</v>
      </c>
      <c r="J85" s="217">
        <f t="shared" si="16"/>
        <v>15.13</v>
      </c>
      <c r="K85" s="4"/>
      <c r="L85" s="149">
        <f t="shared" si="15"/>
        <v>9</v>
      </c>
      <c r="M85" s="156">
        <f t="shared" si="12"/>
        <v>15.13</v>
      </c>
      <c r="N85" s="157">
        <f t="shared" si="13"/>
        <v>15.13</v>
      </c>
      <c r="O85" s="157" t="str">
        <f t="shared" ref="O85:O148" si="19">IF(N85&lt;&gt;"","",M85)</f>
        <v/>
      </c>
      <c r="P85" s="158" t="str">
        <f t="shared" si="14"/>
        <v/>
      </c>
      <c r="Q85" s="157" t="str">
        <f t="shared" si="17"/>
        <v/>
      </c>
      <c r="R85" s="157" t="str">
        <f t="shared" si="18"/>
        <v/>
      </c>
    </row>
    <row r="86" spans="1:18" ht="38.25" customHeight="1" x14ac:dyDescent="0.2">
      <c r="A86" s="243" t="s">
        <v>30</v>
      </c>
      <c r="B86" s="216" t="s">
        <v>88</v>
      </c>
      <c r="C86" s="243" t="str">
        <f>VLOOKUP(B86,INSUMOS!$A:$I,2,FALSE)</f>
        <v>SINAPI</v>
      </c>
      <c r="D86" s="243" t="str">
        <f>VLOOKUP(B86,INSUMOS!$A:$I,3,FALSE)</f>
        <v>EPI - FAMILIA CARPINTEIRO DE FORMAS - HORISTA (ENCARGOS COMPLEMENTARES - COLETADO CAIXA)</v>
      </c>
      <c r="E86" s="281" t="str">
        <f>VLOOKUP(B86,INSUMOS!$A:$I,4,FALSE)</f>
        <v>Equipamento</v>
      </c>
      <c r="F86" s="281"/>
      <c r="G86" s="215" t="str">
        <f>VLOOKUP(B86,INSUMOS!$A:$I,5,FALSE)</f>
        <v>H</v>
      </c>
      <c r="H86" s="218">
        <v>1</v>
      </c>
      <c r="I86" s="217">
        <f>VLOOKUP(B86,INSUMOS!$A:$I,8,FALSE)</f>
        <v>1.08</v>
      </c>
      <c r="J86" s="217">
        <f t="shared" si="16"/>
        <v>1.08</v>
      </c>
      <c r="K86" s="4"/>
      <c r="L86" s="149">
        <f t="shared" si="15"/>
        <v>9</v>
      </c>
      <c r="M86" s="156">
        <f t="shared" si="12"/>
        <v>1.08</v>
      </c>
      <c r="N86" s="157" t="str">
        <f t="shared" si="13"/>
        <v/>
      </c>
      <c r="O86" s="157">
        <f t="shared" si="19"/>
        <v>1.08</v>
      </c>
      <c r="P86" s="158" t="str">
        <f t="shared" si="14"/>
        <v/>
      </c>
      <c r="Q86" s="157" t="str">
        <f t="shared" si="17"/>
        <v/>
      </c>
      <c r="R86" s="157" t="str">
        <f t="shared" si="18"/>
        <v/>
      </c>
    </row>
    <row r="87" spans="1:18" ht="15" customHeight="1" x14ac:dyDescent="0.2">
      <c r="A87" s="243" t="s">
        <v>30</v>
      </c>
      <c r="B87" s="216" t="s">
        <v>89</v>
      </c>
      <c r="C87" s="243" t="str">
        <f>VLOOKUP(B87,INSUMOS!$A:$I,2,FALSE)</f>
        <v>SINAPI</v>
      </c>
      <c r="D87" s="243" t="str">
        <f>VLOOKUP(B87,INSUMOS!$A:$I,3,FALSE)</f>
        <v>EXAMES - HORISTA (COLETADO CAIXA)</v>
      </c>
      <c r="E87" s="281" t="str">
        <f>VLOOKUP(B87,INSUMOS!$A:$I,4,FALSE)</f>
        <v>Outros</v>
      </c>
      <c r="F87" s="281"/>
      <c r="G87" s="215" t="str">
        <f>VLOOKUP(B87,INSUMOS!$A:$I,5,FALSE)</f>
        <v>H</v>
      </c>
      <c r="H87" s="218">
        <v>1</v>
      </c>
      <c r="I87" s="217">
        <f>VLOOKUP(B87,INSUMOS!$A:$I,8,FALSE)</f>
        <v>0.35</v>
      </c>
      <c r="J87" s="217">
        <f t="shared" si="16"/>
        <v>0.35</v>
      </c>
      <c r="K87" s="4"/>
      <c r="L87" s="149">
        <f t="shared" si="15"/>
        <v>9</v>
      </c>
      <c r="M87" s="156">
        <f t="shared" si="12"/>
        <v>0.35</v>
      </c>
      <c r="N87" s="157" t="str">
        <f t="shared" si="13"/>
        <v/>
      </c>
      <c r="O87" s="157">
        <f t="shared" si="19"/>
        <v>0.35</v>
      </c>
      <c r="P87" s="158" t="str">
        <f t="shared" si="14"/>
        <v/>
      </c>
      <c r="Q87" s="157" t="str">
        <f t="shared" si="17"/>
        <v/>
      </c>
      <c r="R87" s="157" t="str">
        <f t="shared" si="18"/>
        <v/>
      </c>
    </row>
    <row r="88" spans="1:18" ht="25.5" x14ac:dyDescent="0.2">
      <c r="A88" s="243" t="s">
        <v>30</v>
      </c>
      <c r="B88" s="216" t="s">
        <v>90</v>
      </c>
      <c r="C88" s="243" t="str">
        <f>VLOOKUP(B88,INSUMOS!$A:$I,2,FALSE)</f>
        <v>SINAPI</v>
      </c>
      <c r="D88" s="243" t="str">
        <f>VLOOKUP(B88,INSUMOS!$A:$I,3,FALSE)</f>
        <v>FERRAMENTAS - FAMILIA CARPINTEIRO DE FORMAS - HORISTA (ENCARGOS COMPLEMENTARES - COLETADO CAIXA)</v>
      </c>
      <c r="E88" s="281" t="str">
        <f>VLOOKUP(B88,INSUMOS!$A:$I,4,FALSE)</f>
        <v>Equipamento</v>
      </c>
      <c r="F88" s="281"/>
      <c r="G88" s="215" t="str">
        <f>VLOOKUP(B88,INSUMOS!$A:$I,5,FALSE)</f>
        <v>H</v>
      </c>
      <c r="H88" s="218">
        <v>1</v>
      </c>
      <c r="I88" s="217">
        <f>VLOOKUP(B88,INSUMOS!$A:$I,8,FALSE)</f>
        <v>0.34</v>
      </c>
      <c r="J88" s="217">
        <f t="shared" si="16"/>
        <v>0.34</v>
      </c>
      <c r="K88" s="4"/>
      <c r="L88" s="149">
        <f t="shared" si="15"/>
        <v>9</v>
      </c>
      <c r="M88" s="156">
        <f t="shared" si="12"/>
        <v>0.34</v>
      </c>
      <c r="N88" s="157" t="str">
        <f t="shared" si="13"/>
        <v/>
      </c>
      <c r="O88" s="157">
        <f t="shared" si="19"/>
        <v>0.34</v>
      </c>
      <c r="P88" s="158" t="str">
        <f t="shared" si="14"/>
        <v/>
      </c>
      <c r="Q88" s="157" t="str">
        <f t="shared" si="17"/>
        <v/>
      </c>
      <c r="R88" s="157" t="str">
        <f t="shared" si="18"/>
        <v/>
      </c>
    </row>
    <row r="89" spans="1:18" x14ac:dyDescent="0.2">
      <c r="A89" s="243" t="s">
        <v>30</v>
      </c>
      <c r="B89" s="216" t="s">
        <v>91</v>
      </c>
      <c r="C89" s="243" t="str">
        <f>VLOOKUP(B89,INSUMOS!$A:$I,2,FALSE)</f>
        <v>SINAPI</v>
      </c>
      <c r="D89" s="243" t="str">
        <f>VLOOKUP(B89,INSUMOS!$A:$I,3,FALSE)</f>
        <v>SEGURO - HORISTA (COLETADO CAIXA)</v>
      </c>
      <c r="E89" s="281" t="str">
        <f>VLOOKUP(B89,INSUMOS!$A:$I,4,FALSE)</f>
        <v>Taxas</v>
      </c>
      <c r="F89" s="281"/>
      <c r="G89" s="215" t="str">
        <f>VLOOKUP(B89,INSUMOS!$A:$I,5,FALSE)</f>
        <v>H</v>
      </c>
      <c r="H89" s="218">
        <v>1</v>
      </c>
      <c r="I89" s="217">
        <f>VLOOKUP(B89,INSUMOS!$A:$I,8,FALSE)</f>
        <v>7.0000000000000007E-2</v>
      </c>
      <c r="J89" s="217">
        <f t="shared" si="16"/>
        <v>7.0000000000000007E-2</v>
      </c>
      <c r="K89" s="4"/>
      <c r="L89" s="149">
        <f t="shared" si="15"/>
        <v>9</v>
      </c>
      <c r="M89" s="156">
        <f t="shared" si="12"/>
        <v>7.0000000000000007E-2</v>
      </c>
      <c r="N89" s="157" t="str">
        <f t="shared" si="13"/>
        <v/>
      </c>
      <c r="O89" s="157">
        <f t="shared" si="19"/>
        <v>7.0000000000000007E-2</v>
      </c>
      <c r="P89" s="158" t="str">
        <f t="shared" si="14"/>
        <v/>
      </c>
      <c r="Q89" s="157" t="str">
        <f t="shared" si="17"/>
        <v/>
      </c>
      <c r="R89" s="157" t="str">
        <f t="shared" si="18"/>
        <v/>
      </c>
    </row>
    <row r="90" spans="1:18" ht="14.25" customHeight="1" x14ac:dyDescent="0.2">
      <c r="A90" s="243" t="s">
        <v>30</v>
      </c>
      <c r="B90" s="216" t="s">
        <v>92</v>
      </c>
      <c r="C90" s="243" t="str">
        <f>VLOOKUP(B90,INSUMOS!$A:$I,2,FALSE)</f>
        <v>SINAPI</v>
      </c>
      <c r="D90" s="243" t="str">
        <f>VLOOKUP(B90,INSUMOS!$A:$I,3,FALSE)</f>
        <v>TRANSPORTE - HORISTA (COLETADO CAIXA)</v>
      </c>
      <c r="E90" s="281" t="str">
        <f>VLOOKUP(B90,INSUMOS!$A:$I,4,FALSE)</f>
        <v>Serviços</v>
      </c>
      <c r="F90" s="281"/>
      <c r="G90" s="215" t="str">
        <f>VLOOKUP(B90,INSUMOS!$A:$I,5,FALSE)</f>
        <v>H</v>
      </c>
      <c r="H90" s="218">
        <v>1</v>
      </c>
      <c r="I90" s="217">
        <f>VLOOKUP(B90,INSUMOS!$A:$I,8,FALSE)</f>
        <v>0.92</v>
      </c>
      <c r="J90" s="217">
        <f t="shared" si="16"/>
        <v>0.92</v>
      </c>
      <c r="K90" s="4"/>
      <c r="L90" s="149">
        <f t="shared" si="15"/>
        <v>9</v>
      </c>
      <c r="M90" s="156">
        <f t="shared" si="12"/>
        <v>0.92</v>
      </c>
      <c r="N90" s="157" t="str">
        <f t="shared" si="13"/>
        <v/>
      </c>
      <c r="O90" s="157">
        <f t="shared" si="19"/>
        <v>0.92</v>
      </c>
      <c r="P90" s="158" t="str">
        <f t="shared" si="14"/>
        <v/>
      </c>
      <c r="Q90" s="157" t="str">
        <f t="shared" si="17"/>
        <v/>
      </c>
      <c r="R90" s="157" t="str">
        <f t="shared" si="18"/>
        <v/>
      </c>
    </row>
    <row r="91" spans="1:18" ht="38.25" customHeight="1" x14ac:dyDescent="0.2">
      <c r="A91" s="246"/>
      <c r="B91" s="246"/>
      <c r="C91" s="246"/>
      <c r="D91" s="246"/>
      <c r="E91" s="246"/>
      <c r="F91" s="222"/>
      <c r="G91" s="246"/>
      <c r="H91" s="222"/>
      <c r="I91" s="246"/>
      <c r="J91" s="222"/>
      <c r="K91" s="4"/>
      <c r="L91" s="149">
        <f t="shared" si="15"/>
        <v>9</v>
      </c>
      <c r="M91" s="156" t="str">
        <f t="shared" si="12"/>
        <v/>
      </c>
      <c r="N91" s="157" t="str">
        <f t="shared" si="13"/>
        <v/>
      </c>
      <c r="O91" s="157" t="str">
        <f t="shared" si="19"/>
        <v/>
      </c>
      <c r="P91" s="158" t="str">
        <f t="shared" si="14"/>
        <v/>
      </c>
      <c r="Q91" s="157" t="str">
        <f t="shared" si="17"/>
        <v/>
      </c>
      <c r="R91" s="157" t="str">
        <f t="shared" si="18"/>
        <v/>
      </c>
    </row>
    <row r="92" spans="1:18" ht="38.25" customHeight="1" thickBot="1" x14ac:dyDescent="0.25">
      <c r="A92" s="246"/>
      <c r="B92" s="246"/>
      <c r="C92" s="246"/>
      <c r="D92" s="246"/>
      <c r="E92" s="246"/>
      <c r="F92" s="222"/>
      <c r="G92" s="246"/>
      <c r="H92" s="282"/>
      <c r="I92" s="282"/>
      <c r="J92" s="222"/>
      <c r="K92" s="4"/>
      <c r="L92" s="149">
        <f t="shared" si="15"/>
        <v>9</v>
      </c>
      <c r="M92" s="156" t="str">
        <f t="shared" si="12"/>
        <v/>
      </c>
      <c r="N92" s="157" t="str">
        <f t="shared" si="13"/>
        <v/>
      </c>
      <c r="O92" s="157" t="str">
        <f t="shared" si="19"/>
        <v/>
      </c>
      <c r="P92" s="158" t="str">
        <f t="shared" si="14"/>
        <v/>
      </c>
      <c r="Q92" s="157" t="str">
        <f t="shared" si="17"/>
        <v/>
      </c>
      <c r="R92" s="157" t="str">
        <f t="shared" si="18"/>
        <v/>
      </c>
    </row>
    <row r="93" spans="1:18" ht="38.25" customHeight="1" thickTop="1" x14ac:dyDescent="0.2">
      <c r="A93" s="210"/>
      <c r="B93" s="210"/>
      <c r="C93" s="210"/>
      <c r="D93" s="210"/>
      <c r="E93" s="210"/>
      <c r="F93" s="210"/>
      <c r="G93" s="210"/>
      <c r="H93" s="210"/>
      <c r="I93" s="210"/>
      <c r="J93" s="210"/>
      <c r="K93" s="4"/>
      <c r="L93" s="149">
        <f t="shared" si="15"/>
        <v>9</v>
      </c>
      <c r="M93" s="156" t="str">
        <f t="shared" si="12"/>
        <v/>
      </c>
      <c r="N93" s="157" t="str">
        <f t="shared" si="13"/>
        <v/>
      </c>
      <c r="O93" s="157" t="str">
        <f t="shared" si="19"/>
        <v/>
      </c>
      <c r="P93" s="158" t="str">
        <f t="shared" si="14"/>
        <v/>
      </c>
      <c r="Q93" s="157" t="str">
        <f t="shared" si="17"/>
        <v/>
      </c>
      <c r="R93" s="157" t="str">
        <f t="shared" si="18"/>
        <v/>
      </c>
    </row>
    <row r="94" spans="1:18" ht="15" customHeight="1" x14ac:dyDescent="0.2">
      <c r="A94" s="245"/>
      <c r="B94" s="203" t="s">
        <v>1</v>
      </c>
      <c r="C94" s="245" t="s">
        <v>2</v>
      </c>
      <c r="D94" s="245" t="s">
        <v>3</v>
      </c>
      <c r="E94" s="284" t="s">
        <v>17</v>
      </c>
      <c r="F94" s="284"/>
      <c r="G94" s="202" t="s">
        <v>4</v>
      </c>
      <c r="H94" s="203" t="s">
        <v>5</v>
      </c>
      <c r="I94" s="203" t="s">
        <v>6</v>
      </c>
      <c r="J94" s="203" t="s">
        <v>7</v>
      </c>
      <c r="K94" s="4"/>
      <c r="L94" s="149">
        <f t="shared" si="15"/>
        <v>10</v>
      </c>
      <c r="M94" s="156" t="str">
        <f t="shared" si="12"/>
        <v/>
      </c>
      <c r="N94" s="157" t="str">
        <f t="shared" si="13"/>
        <v/>
      </c>
      <c r="O94" s="157" t="str">
        <f t="shared" si="19"/>
        <v/>
      </c>
      <c r="P94" s="158" t="str">
        <f t="shared" si="14"/>
        <v/>
      </c>
      <c r="Q94" s="157" t="str">
        <f t="shared" si="17"/>
        <v/>
      </c>
      <c r="R94" s="157" t="str">
        <f t="shared" si="18"/>
        <v/>
      </c>
    </row>
    <row r="95" spans="1:18" ht="38.25" x14ac:dyDescent="0.2">
      <c r="A95" s="247" t="s">
        <v>18</v>
      </c>
      <c r="B95" s="207" t="s">
        <v>21</v>
      </c>
      <c r="C95" s="247" t="s">
        <v>8</v>
      </c>
      <c r="D95" s="247" t="s">
        <v>22</v>
      </c>
      <c r="E95" s="285" t="s">
        <v>23</v>
      </c>
      <c r="F95" s="285"/>
      <c r="G95" s="206" t="s">
        <v>15</v>
      </c>
      <c r="H95" s="209">
        <v>1</v>
      </c>
      <c r="I95" s="208">
        <f>SUMIF(L:L,$L95,M:M)</f>
        <v>295.60000000000002</v>
      </c>
      <c r="J95" s="208">
        <f t="shared" ref="J95:J102" si="20">TRUNC(H95*I95,2)</f>
        <v>295.60000000000002</v>
      </c>
      <c r="K95" s="4"/>
      <c r="L95" s="149">
        <f t="shared" si="15"/>
        <v>10</v>
      </c>
      <c r="M95" s="156" t="str">
        <f t="shared" si="12"/>
        <v/>
      </c>
      <c r="N95" s="157" t="str">
        <f t="shared" si="13"/>
        <v/>
      </c>
      <c r="O95" s="157" t="str">
        <f t="shared" si="19"/>
        <v/>
      </c>
      <c r="P95" s="158" t="str">
        <f t="shared" si="14"/>
        <v xml:space="preserve"> 94962 </v>
      </c>
      <c r="Q95" s="157">
        <f t="shared" si="17"/>
        <v>0</v>
      </c>
      <c r="R95" s="157">
        <f t="shared" si="18"/>
        <v>295.60000000000002</v>
      </c>
    </row>
    <row r="96" spans="1:18" ht="38.25" customHeight="1" x14ac:dyDescent="0.2">
      <c r="A96" s="244" t="s">
        <v>20</v>
      </c>
      <c r="B96" s="212" t="s">
        <v>96</v>
      </c>
      <c r="C96" s="244" t="s">
        <v>8</v>
      </c>
      <c r="D96" s="244" t="s">
        <v>75</v>
      </c>
      <c r="E96" s="283" t="s">
        <v>44</v>
      </c>
      <c r="F96" s="283"/>
      <c r="G96" s="211" t="s">
        <v>45</v>
      </c>
      <c r="H96" s="214">
        <v>0.76</v>
      </c>
      <c r="I96" s="213">
        <f>SUMIFS(J:J,A:A,"Composição",B:B,$B96)</f>
        <v>1.83</v>
      </c>
      <c r="J96" s="213">
        <f t="shared" si="20"/>
        <v>1.39</v>
      </c>
      <c r="K96" s="4"/>
      <c r="L96" s="149">
        <f t="shared" si="15"/>
        <v>10</v>
      </c>
      <c r="M96" s="156">
        <f t="shared" si="12"/>
        <v>1.39</v>
      </c>
      <c r="N96" s="157" t="str">
        <f t="shared" si="13"/>
        <v/>
      </c>
      <c r="O96" s="157">
        <f t="shared" si="19"/>
        <v>1.39</v>
      </c>
      <c r="P96" s="158" t="str">
        <f t="shared" si="14"/>
        <v/>
      </c>
      <c r="Q96" s="157" t="str">
        <f t="shared" si="17"/>
        <v/>
      </c>
      <c r="R96" s="157" t="str">
        <f t="shared" si="18"/>
        <v/>
      </c>
    </row>
    <row r="97" spans="1:18" ht="38.25" customHeight="1" x14ac:dyDescent="0.2">
      <c r="A97" s="244" t="s">
        <v>20</v>
      </c>
      <c r="B97" s="212" t="s">
        <v>97</v>
      </c>
      <c r="C97" s="244" t="s">
        <v>8</v>
      </c>
      <c r="D97" s="244" t="s">
        <v>74</v>
      </c>
      <c r="E97" s="283" t="s">
        <v>44</v>
      </c>
      <c r="F97" s="283"/>
      <c r="G97" s="211" t="s">
        <v>46</v>
      </c>
      <c r="H97" s="214">
        <v>0.72</v>
      </c>
      <c r="I97" s="213">
        <f>SUMIFS(J:J,A:A,"Composição",B:B,$B97)</f>
        <v>0.33</v>
      </c>
      <c r="J97" s="213">
        <f t="shared" si="20"/>
        <v>0.23</v>
      </c>
      <c r="K97" s="4"/>
      <c r="L97" s="149">
        <f t="shared" si="15"/>
        <v>10</v>
      </c>
      <c r="M97" s="156">
        <f t="shared" si="12"/>
        <v>0.23</v>
      </c>
      <c r="N97" s="157" t="str">
        <f t="shared" si="13"/>
        <v/>
      </c>
      <c r="O97" s="157">
        <f t="shared" si="19"/>
        <v>0.23</v>
      </c>
      <c r="P97" s="158" t="str">
        <f t="shared" si="14"/>
        <v/>
      </c>
      <c r="Q97" s="157" t="str">
        <f t="shared" si="17"/>
        <v/>
      </c>
      <c r="R97" s="157" t="str">
        <f t="shared" si="18"/>
        <v/>
      </c>
    </row>
    <row r="98" spans="1:18" ht="38.25" customHeight="1" x14ac:dyDescent="0.2">
      <c r="A98" s="244" t="s">
        <v>20</v>
      </c>
      <c r="B98" s="212" t="s">
        <v>28</v>
      </c>
      <c r="C98" s="244" t="s">
        <v>8</v>
      </c>
      <c r="D98" s="244" t="s">
        <v>29</v>
      </c>
      <c r="E98" s="283" t="s">
        <v>26</v>
      </c>
      <c r="F98" s="283"/>
      <c r="G98" s="211" t="s">
        <v>27</v>
      </c>
      <c r="H98" s="214">
        <v>2.34</v>
      </c>
      <c r="I98" s="213">
        <f>SUMIFS(J:J,A:A,"Composição",B:B,$B98)</f>
        <v>16.02</v>
      </c>
      <c r="J98" s="213">
        <f t="shared" si="20"/>
        <v>37.479999999999997</v>
      </c>
      <c r="K98" s="4"/>
      <c r="L98" s="149">
        <f t="shared" si="15"/>
        <v>10</v>
      </c>
      <c r="M98" s="156">
        <f t="shared" si="12"/>
        <v>37.479999999999997</v>
      </c>
      <c r="N98" s="157" t="str">
        <f t="shared" si="13"/>
        <v/>
      </c>
      <c r="O98" s="157">
        <f t="shared" si="19"/>
        <v>37.479999999999997</v>
      </c>
      <c r="P98" s="158" t="str">
        <f t="shared" si="14"/>
        <v/>
      </c>
      <c r="Q98" s="157" t="str">
        <f t="shared" si="17"/>
        <v/>
      </c>
      <c r="R98" s="157" t="str">
        <f t="shared" si="18"/>
        <v/>
      </c>
    </row>
    <row r="99" spans="1:18" ht="38.25" customHeight="1" x14ac:dyDescent="0.2">
      <c r="A99" s="244" t="s">
        <v>20</v>
      </c>
      <c r="B99" s="212" t="s">
        <v>93</v>
      </c>
      <c r="C99" s="244" t="s">
        <v>8</v>
      </c>
      <c r="D99" s="244" t="s">
        <v>69</v>
      </c>
      <c r="E99" s="283" t="s">
        <v>26</v>
      </c>
      <c r="F99" s="283"/>
      <c r="G99" s="211" t="s">
        <v>27</v>
      </c>
      <c r="H99" s="214">
        <v>1.48</v>
      </c>
      <c r="I99" s="213">
        <f>SUMIFS(J:J,A:A,"Composição",B:B,$B99)</f>
        <v>16.25</v>
      </c>
      <c r="J99" s="213">
        <f t="shared" si="20"/>
        <v>24.05</v>
      </c>
      <c r="K99" s="4"/>
      <c r="L99" s="149">
        <f t="shared" si="15"/>
        <v>10</v>
      </c>
      <c r="M99" s="156">
        <f t="shared" si="12"/>
        <v>24.05</v>
      </c>
      <c r="N99" s="157" t="str">
        <f t="shared" si="13"/>
        <v/>
      </c>
      <c r="O99" s="157">
        <f t="shared" si="19"/>
        <v>24.05</v>
      </c>
      <c r="P99" s="158" t="str">
        <f t="shared" si="14"/>
        <v/>
      </c>
      <c r="Q99" s="157" t="str">
        <f t="shared" si="17"/>
        <v/>
      </c>
      <c r="R99" s="157" t="str">
        <f t="shared" si="18"/>
        <v/>
      </c>
    </row>
    <row r="100" spans="1:18" ht="15" customHeight="1" x14ac:dyDescent="0.2">
      <c r="A100" s="243" t="s">
        <v>30</v>
      </c>
      <c r="B100" s="216" t="s">
        <v>94</v>
      </c>
      <c r="C100" s="243" t="str">
        <f>VLOOKUP(B100,INSUMOS!$A:$I,2,FALSE)</f>
        <v>SINAPI</v>
      </c>
      <c r="D100" s="243" t="str">
        <f>VLOOKUP(B100,INSUMOS!$A:$I,3,FALSE)</f>
        <v>AREIA MEDIA - POSTO JAZIDA/FORNECEDOR (RETIRADO NA JAZIDA, SEM TRANSPORTE)</v>
      </c>
      <c r="E100" s="281" t="str">
        <f>VLOOKUP(B100,INSUMOS!$A:$I,4,FALSE)</f>
        <v>Material</v>
      </c>
      <c r="F100" s="281"/>
      <c r="G100" s="215" t="str">
        <f>VLOOKUP(B100,INSUMOS!$A:$I,5,FALSE)</f>
        <v>m³</v>
      </c>
      <c r="H100" s="218">
        <v>0.82699999999999996</v>
      </c>
      <c r="I100" s="217">
        <f>VLOOKUP(B100,INSUMOS!$A:$I,8,FALSE)</f>
        <v>59</v>
      </c>
      <c r="J100" s="217">
        <f t="shared" si="20"/>
        <v>48.79</v>
      </c>
      <c r="K100" s="4"/>
      <c r="L100" s="149">
        <f t="shared" si="15"/>
        <v>10</v>
      </c>
      <c r="M100" s="156">
        <f t="shared" si="12"/>
        <v>48.79</v>
      </c>
      <c r="N100" s="157" t="str">
        <f t="shared" si="13"/>
        <v/>
      </c>
      <c r="O100" s="157">
        <f t="shared" si="19"/>
        <v>48.79</v>
      </c>
      <c r="P100" s="158" t="str">
        <f t="shared" si="14"/>
        <v/>
      </c>
      <c r="Q100" s="157" t="str">
        <f t="shared" si="17"/>
        <v/>
      </c>
      <c r="R100" s="157" t="str">
        <f t="shared" si="18"/>
        <v/>
      </c>
    </row>
    <row r="101" spans="1:18" ht="38.25" customHeight="1" x14ac:dyDescent="0.2">
      <c r="A101" s="243" t="s">
        <v>30</v>
      </c>
      <c r="B101" s="216" t="s">
        <v>95</v>
      </c>
      <c r="C101" s="243" t="str">
        <f>VLOOKUP(B101,INSUMOS!$A:$I,2,FALSE)</f>
        <v>SINAPI</v>
      </c>
      <c r="D101" s="243" t="str">
        <f>VLOOKUP(B101,INSUMOS!$A:$I,3,FALSE)</f>
        <v>CIMENTO PORTLAND COMPOSTO CP II-32</v>
      </c>
      <c r="E101" s="281" t="str">
        <f>VLOOKUP(B101,INSUMOS!$A:$I,4,FALSE)</f>
        <v>Material</v>
      </c>
      <c r="F101" s="281"/>
      <c r="G101" s="215" t="str">
        <f>VLOOKUP(B101,INSUMOS!$A:$I,5,FALSE)</f>
        <v>KG</v>
      </c>
      <c r="H101" s="218">
        <v>212.02</v>
      </c>
      <c r="I101" s="217">
        <f>VLOOKUP(B101,INSUMOS!$A:$I,8,FALSE)</f>
        <v>0.73</v>
      </c>
      <c r="J101" s="217">
        <f t="shared" si="20"/>
        <v>154.77000000000001</v>
      </c>
      <c r="K101" s="4"/>
      <c r="L101" s="149">
        <f t="shared" si="15"/>
        <v>10</v>
      </c>
      <c r="M101" s="156">
        <f t="shared" si="12"/>
        <v>154.77000000000001</v>
      </c>
      <c r="N101" s="157" t="str">
        <f t="shared" si="13"/>
        <v/>
      </c>
      <c r="O101" s="157">
        <f t="shared" si="19"/>
        <v>154.77000000000001</v>
      </c>
      <c r="P101" s="158" t="str">
        <f t="shared" si="14"/>
        <v/>
      </c>
      <c r="Q101" s="157" t="str">
        <f t="shared" si="17"/>
        <v/>
      </c>
      <c r="R101" s="157" t="str">
        <f t="shared" si="18"/>
        <v/>
      </c>
    </row>
    <row r="102" spans="1:18" ht="38.25" customHeight="1" x14ac:dyDescent="0.2">
      <c r="A102" s="243" t="s">
        <v>30</v>
      </c>
      <c r="B102" s="216" t="s">
        <v>106</v>
      </c>
      <c r="C102" s="243" t="str">
        <f>VLOOKUP(B102,INSUMOS!$A:$I,2,FALSE)</f>
        <v>SINAPI</v>
      </c>
      <c r="D102" s="243" t="str">
        <f>VLOOKUP(B102,INSUMOS!$A:$I,3,FALSE)</f>
        <v>PEDRA BRITADA N. 1 (9,5 a 19 MM) POSTO PEDREIRA/FORNECEDOR, SEM FRETE</v>
      </c>
      <c r="E102" s="281" t="str">
        <f>VLOOKUP(B102,INSUMOS!$A:$I,4,FALSE)</f>
        <v>Material</v>
      </c>
      <c r="F102" s="281"/>
      <c r="G102" s="215" t="str">
        <f>VLOOKUP(B102,INSUMOS!$A:$I,5,FALSE)</f>
        <v>m³</v>
      </c>
      <c r="H102" s="218">
        <v>0.57799999999999996</v>
      </c>
      <c r="I102" s="217">
        <f>VLOOKUP(B102,INSUMOS!$A:$I,8,FALSE)</f>
        <v>49.99</v>
      </c>
      <c r="J102" s="217">
        <f t="shared" si="20"/>
        <v>28.89</v>
      </c>
      <c r="K102" s="4"/>
      <c r="L102" s="149">
        <f t="shared" si="15"/>
        <v>10</v>
      </c>
      <c r="M102" s="156">
        <f t="shared" si="12"/>
        <v>28.89</v>
      </c>
      <c r="N102" s="157" t="str">
        <f t="shared" si="13"/>
        <v/>
      </c>
      <c r="O102" s="157">
        <f t="shared" si="19"/>
        <v>28.89</v>
      </c>
      <c r="P102" s="158" t="str">
        <f t="shared" si="14"/>
        <v/>
      </c>
      <c r="Q102" s="157" t="str">
        <f t="shared" si="17"/>
        <v/>
      </c>
      <c r="R102" s="157" t="str">
        <f t="shared" si="18"/>
        <v/>
      </c>
    </row>
    <row r="103" spans="1:18" ht="38.25" customHeight="1" x14ac:dyDescent="0.2">
      <c r="A103" s="246"/>
      <c r="B103" s="246"/>
      <c r="C103" s="246"/>
      <c r="D103" s="246"/>
      <c r="E103" s="246"/>
      <c r="F103" s="222"/>
      <c r="G103" s="246"/>
      <c r="H103" s="222"/>
      <c r="I103" s="246"/>
      <c r="J103" s="222"/>
      <c r="K103" s="4"/>
      <c r="L103" s="149">
        <f t="shared" si="15"/>
        <v>10</v>
      </c>
      <c r="M103" s="156" t="str">
        <f t="shared" si="12"/>
        <v/>
      </c>
      <c r="N103" s="157" t="str">
        <f t="shared" si="13"/>
        <v/>
      </c>
      <c r="O103" s="157" t="str">
        <f t="shared" si="19"/>
        <v/>
      </c>
      <c r="P103" s="158" t="str">
        <f t="shared" si="14"/>
        <v/>
      </c>
      <c r="Q103" s="157" t="str">
        <f t="shared" si="17"/>
        <v/>
      </c>
      <c r="R103" s="157" t="str">
        <f t="shared" si="18"/>
        <v/>
      </c>
    </row>
    <row r="104" spans="1:18" ht="38.25" customHeight="1" thickBot="1" x14ac:dyDescent="0.25">
      <c r="A104" s="246"/>
      <c r="B104" s="246"/>
      <c r="C104" s="246"/>
      <c r="D104" s="246"/>
      <c r="E104" s="246"/>
      <c r="F104" s="222"/>
      <c r="G104" s="246"/>
      <c r="H104" s="282"/>
      <c r="I104" s="282"/>
      <c r="J104" s="222"/>
      <c r="K104" s="4"/>
      <c r="L104" s="149">
        <f t="shared" si="15"/>
        <v>10</v>
      </c>
      <c r="M104" s="156" t="str">
        <f t="shared" si="12"/>
        <v/>
      </c>
      <c r="N104" s="157" t="str">
        <f t="shared" si="13"/>
        <v/>
      </c>
      <c r="O104" s="157" t="str">
        <f t="shared" si="19"/>
        <v/>
      </c>
      <c r="P104" s="158" t="str">
        <f t="shared" si="14"/>
        <v/>
      </c>
      <c r="Q104" s="157" t="str">
        <f t="shared" si="17"/>
        <v/>
      </c>
      <c r="R104" s="157" t="str">
        <f t="shared" si="18"/>
        <v/>
      </c>
    </row>
    <row r="105" spans="1:18" ht="38.25" customHeight="1" thickTop="1" x14ac:dyDescent="0.2">
      <c r="A105" s="210"/>
      <c r="B105" s="210"/>
      <c r="C105" s="210"/>
      <c r="D105" s="210"/>
      <c r="E105" s="210"/>
      <c r="F105" s="210"/>
      <c r="G105" s="210"/>
      <c r="H105" s="210"/>
      <c r="I105" s="210"/>
      <c r="J105" s="210"/>
      <c r="K105" s="4"/>
      <c r="L105" s="149">
        <f t="shared" si="15"/>
        <v>10</v>
      </c>
      <c r="M105" s="156" t="str">
        <f t="shared" si="12"/>
        <v/>
      </c>
      <c r="N105" s="157" t="str">
        <f t="shared" si="13"/>
        <v/>
      </c>
      <c r="O105" s="157" t="str">
        <f t="shared" si="19"/>
        <v/>
      </c>
      <c r="P105" s="158" t="str">
        <f t="shared" si="14"/>
        <v/>
      </c>
      <c r="Q105" s="157" t="str">
        <f t="shared" si="17"/>
        <v/>
      </c>
      <c r="R105" s="157" t="str">
        <f t="shared" si="18"/>
        <v/>
      </c>
    </row>
    <row r="106" spans="1:18" ht="38.25" customHeight="1" x14ac:dyDescent="0.2">
      <c r="A106" s="245"/>
      <c r="B106" s="203" t="s">
        <v>1</v>
      </c>
      <c r="C106" s="245" t="s">
        <v>2</v>
      </c>
      <c r="D106" s="245" t="s">
        <v>3</v>
      </c>
      <c r="E106" s="284" t="s">
        <v>17</v>
      </c>
      <c r="F106" s="284"/>
      <c r="G106" s="202" t="s">
        <v>4</v>
      </c>
      <c r="H106" s="203" t="s">
        <v>5</v>
      </c>
      <c r="I106" s="203" t="s">
        <v>6</v>
      </c>
      <c r="J106" s="203" t="s">
        <v>7</v>
      </c>
      <c r="K106" s="4"/>
      <c r="L106" s="149">
        <f t="shared" si="15"/>
        <v>11</v>
      </c>
      <c r="M106" s="156" t="str">
        <f t="shared" si="12"/>
        <v/>
      </c>
      <c r="N106" s="157" t="str">
        <f t="shared" si="13"/>
        <v/>
      </c>
      <c r="O106" s="157" t="str">
        <f t="shared" si="19"/>
        <v/>
      </c>
      <c r="P106" s="158" t="str">
        <f t="shared" si="14"/>
        <v/>
      </c>
      <c r="Q106" s="157" t="str">
        <f t="shared" si="17"/>
        <v/>
      </c>
      <c r="R106" s="157" t="str">
        <f t="shared" si="18"/>
        <v/>
      </c>
    </row>
    <row r="107" spans="1:18" ht="38.25" customHeight="1" x14ac:dyDescent="0.2">
      <c r="A107" s="247" t="s">
        <v>18</v>
      </c>
      <c r="B107" s="207" t="s">
        <v>262</v>
      </c>
      <c r="C107" s="247" t="s">
        <v>8</v>
      </c>
      <c r="D107" s="247" t="s">
        <v>263</v>
      </c>
      <c r="E107" s="285" t="s">
        <v>26</v>
      </c>
      <c r="F107" s="285"/>
      <c r="G107" s="206" t="s">
        <v>27</v>
      </c>
      <c r="H107" s="209">
        <v>1</v>
      </c>
      <c r="I107" s="208">
        <f>SUMIF(L:L,$L107,M:M)</f>
        <v>7.0000000000000007E-2</v>
      </c>
      <c r="J107" s="208">
        <f>TRUNC(H107*I107,2)</f>
        <v>7.0000000000000007E-2</v>
      </c>
      <c r="K107" s="4"/>
      <c r="L107" s="149">
        <f t="shared" si="15"/>
        <v>11</v>
      </c>
      <c r="M107" s="156" t="str">
        <f t="shared" si="12"/>
        <v/>
      </c>
      <c r="N107" s="157" t="str">
        <f t="shared" si="13"/>
        <v/>
      </c>
      <c r="O107" s="157" t="str">
        <f t="shared" si="19"/>
        <v/>
      </c>
      <c r="P107" s="158" t="str">
        <f t="shared" si="14"/>
        <v xml:space="preserve"> 95310 </v>
      </c>
      <c r="Q107" s="157">
        <f t="shared" si="17"/>
        <v>7.0000000000000007E-2</v>
      </c>
      <c r="R107" s="157">
        <f t="shared" si="18"/>
        <v>0</v>
      </c>
    </row>
    <row r="108" spans="1:18" x14ac:dyDescent="0.2">
      <c r="A108" s="243" t="s">
        <v>30</v>
      </c>
      <c r="B108" s="216" t="s">
        <v>232</v>
      </c>
      <c r="C108" s="243" t="str">
        <f>VLOOKUP(B108,INSUMOS!$A:$I,2,FALSE)</f>
        <v>SINAPI</v>
      </c>
      <c r="D108" s="243" t="str">
        <f>VLOOKUP(B108,INSUMOS!$A:$I,3,FALSE)</f>
        <v>AJUDANTE DE ESTRUTURAS METALICAS</v>
      </c>
      <c r="E108" s="281" t="str">
        <f>VLOOKUP(B108,INSUMOS!$A:$I,4,FALSE)</f>
        <v>Mão de Obra</v>
      </c>
      <c r="F108" s="281"/>
      <c r="G108" s="215" t="str">
        <f>VLOOKUP(B108,INSUMOS!$A:$I,5,FALSE)</f>
        <v>H</v>
      </c>
      <c r="H108" s="218">
        <v>7.9000000000000008E-3</v>
      </c>
      <c r="I108" s="217">
        <f>VLOOKUP(B108,INSUMOS!$A:$I,8,FALSE)</f>
        <v>9.43</v>
      </c>
      <c r="J108" s="217">
        <f>TRUNC(H108*I108,2)</f>
        <v>7.0000000000000007E-2</v>
      </c>
      <c r="K108" s="4"/>
      <c r="L108" s="149">
        <f t="shared" si="15"/>
        <v>11</v>
      </c>
      <c r="M108" s="156">
        <f t="shared" si="12"/>
        <v>7.0000000000000007E-2</v>
      </c>
      <c r="N108" s="157">
        <f t="shared" si="13"/>
        <v>7.0000000000000007E-2</v>
      </c>
      <c r="O108" s="157" t="str">
        <f t="shared" si="19"/>
        <v/>
      </c>
      <c r="P108" s="158" t="str">
        <f t="shared" si="14"/>
        <v/>
      </c>
      <c r="Q108" s="157" t="str">
        <f t="shared" si="17"/>
        <v/>
      </c>
      <c r="R108" s="157" t="str">
        <f t="shared" si="18"/>
        <v/>
      </c>
    </row>
    <row r="109" spans="1:18" ht="15" customHeight="1" x14ac:dyDescent="0.2">
      <c r="A109" s="246"/>
      <c r="B109" s="246"/>
      <c r="C109" s="246"/>
      <c r="D109" s="246"/>
      <c r="E109" s="246"/>
      <c r="F109" s="222"/>
      <c r="G109" s="246"/>
      <c r="H109" s="222"/>
      <c r="I109" s="246"/>
      <c r="J109" s="222"/>
      <c r="K109" s="4"/>
      <c r="L109" s="149">
        <f t="shared" si="15"/>
        <v>11</v>
      </c>
      <c r="M109" s="156" t="str">
        <f t="shared" si="12"/>
        <v/>
      </c>
      <c r="N109" s="157" t="str">
        <f t="shared" si="13"/>
        <v/>
      </c>
      <c r="O109" s="157" t="str">
        <f t="shared" si="19"/>
        <v/>
      </c>
      <c r="P109" s="158" t="str">
        <f t="shared" si="14"/>
        <v/>
      </c>
      <c r="Q109" s="157" t="str">
        <f t="shared" si="17"/>
        <v/>
      </c>
      <c r="R109" s="157" t="str">
        <f t="shared" si="18"/>
        <v/>
      </c>
    </row>
    <row r="110" spans="1:18" ht="14.25" customHeight="1" thickBot="1" x14ac:dyDescent="0.25">
      <c r="A110" s="246"/>
      <c r="B110" s="246"/>
      <c r="C110" s="246"/>
      <c r="D110" s="246"/>
      <c r="E110" s="246"/>
      <c r="F110" s="222"/>
      <c r="G110" s="246"/>
      <c r="H110" s="282"/>
      <c r="I110" s="282"/>
      <c r="J110" s="222"/>
      <c r="K110" s="4"/>
      <c r="L110" s="149">
        <f t="shared" si="15"/>
        <v>11</v>
      </c>
      <c r="M110" s="156" t="str">
        <f t="shared" si="12"/>
        <v/>
      </c>
      <c r="N110" s="157" t="str">
        <f t="shared" si="13"/>
        <v/>
      </c>
      <c r="O110" s="157" t="str">
        <f t="shared" si="19"/>
        <v/>
      </c>
      <c r="P110" s="158" t="str">
        <f t="shared" si="14"/>
        <v/>
      </c>
      <c r="Q110" s="157" t="str">
        <f t="shared" si="17"/>
        <v/>
      </c>
      <c r="R110" s="157" t="str">
        <f t="shared" si="18"/>
        <v/>
      </c>
    </row>
    <row r="111" spans="1:18" ht="15" thickTop="1" x14ac:dyDescent="0.2">
      <c r="A111" s="210"/>
      <c r="B111" s="210"/>
      <c r="C111" s="210"/>
      <c r="D111" s="210"/>
      <c r="E111" s="210"/>
      <c r="F111" s="210"/>
      <c r="G111" s="210"/>
      <c r="H111" s="210"/>
      <c r="I111" s="210"/>
      <c r="J111" s="210"/>
      <c r="K111" s="4"/>
      <c r="L111" s="149">
        <f t="shared" si="15"/>
        <v>11</v>
      </c>
      <c r="M111" s="156" t="str">
        <f t="shared" si="12"/>
        <v/>
      </c>
      <c r="N111" s="157" t="str">
        <f t="shared" si="13"/>
        <v/>
      </c>
      <c r="O111" s="157" t="str">
        <f t="shared" si="19"/>
        <v/>
      </c>
      <c r="P111" s="158" t="str">
        <f t="shared" si="14"/>
        <v/>
      </c>
      <c r="Q111" s="157" t="str">
        <f t="shared" si="17"/>
        <v/>
      </c>
      <c r="R111" s="157" t="str">
        <f t="shared" si="18"/>
        <v/>
      </c>
    </row>
    <row r="112" spans="1:18" ht="38.25" customHeight="1" x14ac:dyDescent="0.2">
      <c r="A112" s="245"/>
      <c r="B112" s="203" t="s">
        <v>1</v>
      </c>
      <c r="C112" s="245" t="s">
        <v>2</v>
      </c>
      <c r="D112" s="245" t="s">
        <v>3</v>
      </c>
      <c r="E112" s="284" t="s">
        <v>17</v>
      </c>
      <c r="F112" s="284"/>
      <c r="G112" s="202" t="s">
        <v>4</v>
      </c>
      <c r="H112" s="203" t="s">
        <v>5</v>
      </c>
      <c r="I112" s="203" t="s">
        <v>6</v>
      </c>
      <c r="J112" s="203" t="s">
        <v>7</v>
      </c>
      <c r="K112" s="4"/>
      <c r="L112" s="149">
        <f t="shared" si="15"/>
        <v>12</v>
      </c>
      <c r="M112" s="156" t="str">
        <f t="shared" si="12"/>
        <v/>
      </c>
      <c r="N112" s="157" t="str">
        <f t="shared" si="13"/>
        <v/>
      </c>
      <c r="O112" s="157" t="str">
        <f t="shared" si="19"/>
        <v/>
      </c>
      <c r="P112" s="158" t="str">
        <f t="shared" si="14"/>
        <v/>
      </c>
      <c r="Q112" s="157" t="str">
        <f t="shared" si="17"/>
        <v/>
      </c>
      <c r="R112" s="157" t="str">
        <f t="shared" si="18"/>
        <v/>
      </c>
    </row>
    <row r="113" spans="1:18" ht="15" customHeight="1" x14ac:dyDescent="0.2">
      <c r="A113" s="247" t="s">
        <v>18</v>
      </c>
      <c r="B113" s="207" t="s">
        <v>266</v>
      </c>
      <c r="C113" s="247" t="s">
        <v>8</v>
      </c>
      <c r="D113" s="247" t="s">
        <v>267</v>
      </c>
      <c r="E113" s="285" t="s">
        <v>26</v>
      </c>
      <c r="F113" s="285"/>
      <c r="G113" s="206" t="s">
        <v>27</v>
      </c>
      <c r="H113" s="209">
        <v>1</v>
      </c>
      <c r="I113" s="208">
        <f>SUMIF(L:L,$L113,M:M)</f>
        <v>0.27</v>
      </c>
      <c r="J113" s="208">
        <f>TRUNC(H113*I113,2)</f>
        <v>0.27</v>
      </c>
      <c r="K113" s="4"/>
      <c r="L113" s="149">
        <f t="shared" si="15"/>
        <v>12</v>
      </c>
      <c r="M113" s="156" t="str">
        <f t="shared" si="12"/>
        <v/>
      </c>
      <c r="N113" s="157" t="str">
        <f t="shared" si="13"/>
        <v/>
      </c>
      <c r="O113" s="157" t="str">
        <f t="shared" si="19"/>
        <v/>
      </c>
      <c r="P113" s="158" t="str">
        <f t="shared" si="14"/>
        <v xml:space="preserve"> 95316 </v>
      </c>
      <c r="Q113" s="157">
        <f t="shared" si="17"/>
        <v>0.27</v>
      </c>
      <c r="R113" s="157">
        <f t="shared" si="18"/>
        <v>0</v>
      </c>
    </row>
    <row r="114" spans="1:18" x14ac:dyDescent="0.2">
      <c r="A114" s="243" t="s">
        <v>30</v>
      </c>
      <c r="B114" s="216" t="s">
        <v>193</v>
      </c>
      <c r="C114" s="243" t="str">
        <f>VLOOKUP(B114,INSUMOS!$A:$I,2,FALSE)</f>
        <v>SINAPI</v>
      </c>
      <c r="D114" s="243" t="str">
        <f>VLOOKUP(B114,INSUMOS!$A:$I,3,FALSE)</f>
        <v>AJUDANTE DE ELETRICISTA</v>
      </c>
      <c r="E114" s="281" t="str">
        <f>VLOOKUP(B114,INSUMOS!$A:$I,4,FALSE)</f>
        <v>Mão de Obra</v>
      </c>
      <c r="F114" s="281"/>
      <c r="G114" s="215" t="str">
        <f>VLOOKUP(B114,INSUMOS!$A:$I,5,FALSE)</f>
        <v>H</v>
      </c>
      <c r="H114" s="218">
        <v>2.5700000000000001E-2</v>
      </c>
      <c r="I114" s="217">
        <f>VLOOKUP(B114,INSUMOS!$A:$I,8,FALSE)</f>
        <v>10.64</v>
      </c>
      <c r="J114" s="217">
        <f>TRUNC(H114*I114,2)</f>
        <v>0.27</v>
      </c>
      <c r="K114" s="4"/>
      <c r="L114" s="149">
        <f t="shared" si="15"/>
        <v>12</v>
      </c>
      <c r="M114" s="156">
        <f t="shared" si="12"/>
        <v>0.27</v>
      </c>
      <c r="N114" s="157">
        <f t="shared" si="13"/>
        <v>0.27</v>
      </c>
      <c r="O114" s="157" t="str">
        <f t="shared" si="19"/>
        <v/>
      </c>
      <c r="P114" s="158" t="str">
        <f t="shared" si="14"/>
        <v/>
      </c>
      <c r="Q114" s="157" t="str">
        <f t="shared" si="17"/>
        <v/>
      </c>
      <c r="R114" s="157" t="str">
        <f t="shared" si="18"/>
        <v/>
      </c>
    </row>
    <row r="115" spans="1:18" ht="15" customHeight="1" x14ac:dyDescent="0.2">
      <c r="A115" s="246"/>
      <c r="B115" s="246"/>
      <c r="C115" s="246"/>
      <c r="D115" s="246"/>
      <c r="E115" s="246"/>
      <c r="F115" s="222"/>
      <c r="G115" s="246"/>
      <c r="H115" s="222"/>
      <c r="I115" s="246"/>
      <c r="J115" s="222"/>
      <c r="K115" s="4"/>
      <c r="L115" s="149">
        <f t="shared" si="15"/>
        <v>12</v>
      </c>
      <c r="M115" s="156" t="str">
        <f t="shared" si="12"/>
        <v/>
      </c>
      <c r="N115" s="157" t="str">
        <f t="shared" si="13"/>
        <v/>
      </c>
      <c r="O115" s="157" t="str">
        <f t="shared" si="19"/>
        <v/>
      </c>
      <c r="P115" s="158" t="str">
        <f t="shared" si="14"/>
        <v/>
      </c>
      <c r="Q115" s="157" t="str">
        <f t="shared" si="17"/>
        <v/>
      </c>
      <c r="R115" s="157" t="str">
        <f t="shared" si="18"/>
        <v/>
      </c>
    </row>
    <row r="116" spans="1:18" ht="14.25" customHeight="1" thickBot="1" x14ac:dyDescent="0.25">
      <c r="A116" s="246"/>
      <c r="B116" s="246"/>
      <c r="C116" s="246"/>
      <c r="D116" s="246"/>
      <c r="E116" s="246"/>
      <c r="F116" s="222"/>
      <c r="G116" s="246"/>
      <c r="H116" s="282"/>
      <c r="I116" s="282"/>
      <c r="J116" s="222"/>
      <c r="K116" s="4"/>
      <c r="L116" s="149">
        <f t="shared" si="15"/>
        <v>12</v>
      </c>
      <c r="M116" s="156" t="str">
        <f t="shared" si="12"/>
        <v/>
      </c>
      <c r="N116" s="157" t="str">
        <f t="shared" si="13"/>
        <v/>
      </c>
      <c r="O116" s="157" t="str">
        <f t="shared" si="19"/>
        <v/>
      </c>
      <c r="P116" s="158" t="str">
        <f t="shared" si="14"/>
        <v/>
      </c>
      <c r="Q116" s="157" t="str">
        <f t="shared" si="17"/>
        <v/>
      </c>
      <c r="R116" s="157" t="str">
        <f t="shared" si="18"/>
        <v/>
      </c>
    </row>
    <row r="117" spans="1:18" ht="15" thickTop="1" x14ac:dyDescent="0.2">
      <c r="A117" s="210"/>
      <c r="B117" s="210"/>
      <c r="C117" s="210"/>
      <c r="D117" s="210"/>
      <c r="E117" s="210"/>
      <c r="F117" s="210"/>
      <c r="G117" s="210"/>
      <c r="H117" s="210"/>
      <c r="I117" s="210"/>
      <c r="J117" s="210"/>
      <c r="K117" s="4"/>
      <c r="L117" s="149">
        <f t="shared" si="15"/>
        <v>12</v>
      </c>
      <c r="M117" s="156" t="str">
        <f t="shared" si="12"/>
        <v/>
      </c>
      <c r="N117" s="157" t="str">
        <f t="shared" si="13"/>
        <v/>
      </c>
      <c r="O117" s="157" t="str">
        <f t="shared" si="19"/>
        <v/>
      </c>
      <c r="P117" s="158" t="str">
        <f t="shared" si="14"/>
        <v/>
      </c>
      <c r="Q117" s="157" t="str">
        <f t="shared" si="17"/>
        <v/>
      </c>
      <c r="R117" s="157" t="str">
        <f t="shared" si="18"/>
        <v/>
      </c>
    </row>
    <row r="118" spans="1:18" ht="38.25" customHeight="1" x14ac:dyDescent="0.2">
      <c r="A118" s="245"/>
      <c r="B118" s="203" t="s">
        <v>1</v>
      </c>
      <c r="C118" s="245" t="s">
        <v>2</v>
      </c>
      <c r="D118" s="245" t="s">
        <v>3</v>
      </c>
      <c r="E118" s="284" t="s">
        <v>17</v>
      </c>
      <c r="F118" s="284"/>
      <c r="G118" s="202" t="s">
        <v>4</v>
      </c>
      <c r="H118" s="203" t="s">
        <v>5</v>
      </c>
      <c r="I118" s="203" t="s">
        <v>6</v>
      </c>
      <c r="J118" s="203" t="s">
        <v>7</v>
      </c>
      <c r="K118" s="4"/>
      <c r="L118" s="149">
        <f t="shared" si="15"/>
        <v>13</v>
      </c>
      <c r="M118" s="156" t="str">
        <f t="shared" si="12"/>
        <v/>
      </c>
      <c r="N118" s="157" t="str">
        <f t="shared" si="13"/>
        <v/>
      </c>
      <c r="O118" s="157" t="str">
        <f t="shared" si="19"/>
        <v/>
      </c>
      <c r="P118" s="158" t="str">
        <f t="shared" si="14"/>
        <v/>
      </c>
      <c r="Q118" s="157" t="str">
        <f t="shared" si="17"/>
        <v/>
      </c>
      <c r="R118" s="157" t="str">
        <f t="shared" si="18"/>
        <v/>
      </c>
    </row>
    <row r="119" spans="1:18" ht="38.25" customHeight="1" x14ac:dyDescent="0.2">
      <c r="A119" s="247" t="s">
        <v>18</v>
      </c>
      <c r="B119" s="207" t="s">
        <v>104</v>
      </c>
      <c r="C119" s="247" t="s">
        <v>8</v>
      </c>
      <c r="D119" s="247" t="s">
        <v>72</v>
      </c>
      <c r="E119" s="285" t="s">
        <v>26</v>
      </c>
      <c r="F119" s="285"/>
      <c r="G119" s="206" t="s">
        <v>27</v>
      </c>
      <c r="H119" s="209">
        <v>1</v>
      </c>
      <c r="I119" s="208">
        <f>SUMIF(L:L,$L119,M:M)</f>
        <v>0.11</v>
      </c>
      <c r="J119" s="208">
        <f>TRUNC(H119*I119,2)</f>
        <v>0.11</v>
      </c>
      <c r="K119" s="4"/>
      <c r="L119" s="149">
        <f t="shared" si="15"/>
        <v>13</v>
      </c>
      <c r="M119" s="156" t="str">
        <f t="shared" si="12"/>
        <v/>
      </c>
      <c r="N119" s="157" t="str">
        <f t="shared" si="13"/>
        <v/>
      </c>
      <c r="O119" s="157" t="str">
        <f t="shared" si="19"/>
        <v/>
      </c>
      <c r="P119" s="158" t="str">
        <f t="shared" si="14"/>
        <v xml:space="preserve"> 95330 </v>
      </c>
      <c r="Q119" s="157">
        <f t="shared" si="17"/>
        <v>0.11</v>
      </c>
      <c r="R119" s="157">
        <f t="shared" si="18"/>
        <v>0</v>
      </c>
    </row>
    <row r="120" spans="1:18" x14ac:dyDescent="0.2">
      <c r="A120" s="243" t="s">
        <v>30</v>
      </c>
      <c r="B120" s="216" t="s">
        <v>105</v>
      </c>
      <c r="C120" s="243" t="str">
        <f>VLOOKUP(B120,INSUMOS!$A:$I,2,FALSE)</f>
        <v>SINAPI</v>
      </c>
      <c r="D120" s="243" t="str">
        <f>VLOOKUP(B120,INSUMOS!$A:$I,3,FALSE)</f>
        <v>CARPINTEIRO DE FORMAS</v>
      </c>
      <c r="E120" s="281" t="str">
        <f>VLOOKUP(B120,INSUMOS!$A:$I,4,FALSE)</f>
        <v>Mão de Obra</v>
      </c>
      <c r="F120" s="281"/>
      <c r="G120" s="215" t="str">
        <f>VLOOKUP(B120,INSUMOS!$A:$I,5,FALSE)</f>
        <v>H</v>
      </c>
      <c r="H120" s="218">
        <v>7.9000000000000008E-3</v>
      </c>
      <c r="I120" s="217">
        <f>VLOOKUP(B120,INSUMOS!$A:$I,8,FALSE)</f>
        <v>15.13</v>
      </c>
      <c r="J120" s="217">
        <f>TRUNC(H120*I120,2)</f>
        <v>0.11</v>
      </c>
      <c r="K120" s="4"/>
      <c r="L120" s="149">
        <f t="shared" si="15"/>
        <v>13</v>
      </c>
      <c r="M120" s="156">
        <f t="shared" si="12"/>
        <v>0.11</v>
      </c>
      <c r="N120" s="157">
        <f t="shared" si="13"/>
        <v>0.11</v>
      </c>
      <c r="O120" s="157" t="str">
        <f t="shared" si="19"/>
        <v/>
      </c>
      <c r="P120" s="158" t="str">
        <f t="shared" si="14"/>
        <v/>
      </c>
      <c r="Q120" s="157" t="str">
        <f t="shared" si="17"/>
        <v/>
      </c>
      <c r="R120" s="157" t="str">
        <f t="shared" si="18"/>
        <v/>
      </c>
    </row>
    <row r="121" spans="1:18" ht="15" customHeight="1" x14ac:dyDescent="0.2">
      <c r="A121" s="246"/>
      <c r="B121" s="246"/>
      <c r="C121" s="246"/>
      <c r="D121" s="246"/>
      <c r="E121" s="246"/>
      <c r="F121" s="222"/>
      <c r="G121" s="246"/>
      <c r="H121" s="222"/>
      <c r="I121" s="246"/>
      <c r="J121" s="222"/>
      <c r="K121" s="4"/>
      <c r="L121" s="149">
        <f t="shared" si="15"/>
        <v>13</v>
      </c>
      <c r="M121" s="156" t="str">
        <f t="shared" si="12"/>
        <v/>
      </c>
      <c r="N121" s="157" t="str">
        <f t="shared" si="13"/>
        <v/>
      </c>
      <c r="O121" s="157" t="str">
        <f t="shared" si="19"/>
        <v/>
      </c>
      <c r="P121" s="158" t="str">
        <f t="shared" si="14"/>
        <v/>
      </c>
      <c r="Q121" s="157" t="str">
        <f t="shared" si="17"/>
        <v/>
      </c>
      <c r="R121" s="157" t="str">
        <f t="shared" si="18"/>
        <v/>
      </c>
    </row>
    <row r="122" spans="1:18" ht="15" customHeight="1" thickBot="1" x14ac:dyDescent="0.25">
      <c r="A122" s="246"/>
      <c r="B122" s="246"/>
      <c r="C122" s="246"/>
      <c r="D122" s="246"/>
      <c r="E122" s="246"/>
      <c r="F122" s="222"/>
      <c r="G122" s="246"/>
      <c r="H122" s="282"/>
      <c r="I122" s="282"/>
      <c r="J122" s="222"/>
      <c r="K122" s="4"/>
      <c r="L122" s="149">
        <f t="shared" si="15"/>
        <v>13</v>
      </c>
      <c r="M122" s="156" t="str">
        <f t="shared" si="12"/>
        <v/>
      </c>
      <c r="N122" s="157" t="str">
        <f t="shared" si="13"/>
        <v/>
      </c>
      <c r="O122" s="157" t="str">
        <f t="shared" si="19"/>
        <v/>
      </c>
      <c r="P122" s="158" t="str">
        <f t="shared" si="14"/>
        <v/>
      </c>
      <c r="Q122" s="157" t="str">
        <f t="shared" si="17"/>
        <v/>
      </c>
      <c r="R122" s="157" t="str">
        <f t="shared" si="18"/>
        <v/>
      </c>
    </row>
    <row r="123" spans="1:18" ht="14.25" customHeight="1" thickTop="1" x14ac:dyDescent="0.2">
      <c r="A123" s="210"/>
      <c r="B123" s="210"/>
      <c r="C123" s="210"/>
      <c r="D123" s="210"/>
      <c r="E123" s="210"/>
      <c r="F123" s="210"/>
      <c r="G123" s="210"/>
      <c r="H123" s="210"/>
      <c r="I123" s="210"/>
      <c r="J123" s="210"/>
      <c r="K123" s="4"/>
      <c r="L123" s="149">
        <f t="shared" si="15"/>
        <v>13</v>
      </c>
      <c r="M123" s="156" t="str">
        <f t="shared" si="12"/>
        <v/>
      </c>
      <c r="N123" s="157" t="str">
        <f t="shared" si="13"/>
        <v/>
      </c>
      <c r="O123" s="157" t="str">
        <f t="shared" si="19"/>
        <v/>
      </c>
      <c r="P123" s="158" t="str">
        <f t="shared" si="14"/>
        <v/>
      </c>
      <c r="Q123" s="157" t="str">
        <f t="shared" si="17"/>
        <v/>
      </c>
      <c r="R123" s="157" t="str">
        <f t="shared" si="18"/>
        <v/>
      </c>
    </row>
    <row r="124" spans="1:18" ht="38.25" customHeight="1" x14ac:dyDescent="0.2">
      <c r="A124" s="245"/>
      <c r="B124" s="203" t="s">
        <v>1</v>
      </c>
      <c r="C124" s="245" t="s">
        <v>2</v>
      </c>
      <c r="D124" s="245" t="s">
        <v>3</v>
      </c>
      <c r="E124" s="284" t="s">
        <v>17</v>
      </c>
      <c r="F124" s="284"/>
      <c r="G124" s="202" t="s">
        <v>4</v>
      </c>
      <c r="H124" s="203" t="s">
        <v>5</v>
      </c>
      <c r="I124" s="203" t="s">
        <v>6</v>
      </c>
      <c r="J124" s="203" t="s">
        <v>7</v>
      </c>
      <c r="K124" s="4"/>
      <c r="L124" s="149">
        <f t="shared" si="15"/>
        <v>14</v>
      </c>
      <c r="M124" s="156" t="str">
        <f t="shared" si="12"/>
        <v/>
      </c>
      <c r="N124" s="157" t="str">
        <f t="shared" si="13"/>
        <v/>
      </c>
      <c r="O124" s="157" t="str">
        <f t="shared" si="19"/>
        <v/>
      </c>
      <c r="P124" s="158" t="str">
        <f t="shared" si="14"/>
        <v/>
      </c>
      <c r="Q124" s="157" t="str">
        <f t="shared" si="17"/>
        <v/>
      </c>
      <c r="R124" s="157" t="str">
        <f t="shared" si="18"/>
        <v/>
      </c>
    </row>
    <row r="125" spans="1:18" ht="38.25" customHeight="1" x14ac:dyDescent="0.2">
      <c r="A125" s="247" t="s">
        <v>18</v>
      </c>
      <c r="B125" s="207" t="s">
        <v>407</v>
      </c>
      <c r="C125" s="247" t="s">
        <v>8</v>
      </c>
      <c r="D125" s="247" t="s">
        <v>408</v>
      </c>
      <c r="E125" s="285" t="s">
        <v>26</v>
      </c>
      <c r="F125" s="285"/>
      <c r="G125" s="206" t="s">
        <v>27</v>
      </c>
      <c r="H125" s="209">
        <v>1</v>
      </c>
      <c r="I125" s="208">
        <f>SUMIF(L:L,$L125,M:M)</f>
        <v>0.05</v>
      </c>
      <c r="J125" s="208">
        <f>TRUNC(H125*I125,2)</f>
        <v>0.05</v>
      </c>
      <c r="K125" s="4"/>
      <c r="L125" s="149">
        <f t="shared" si="15"/>
        <v>14</v>
      </c>
      <c r="M125" s="156" t="str">
        <f t="shared" si="12"/>
        <v/>
      </c>
      <c r="N125" s="157" t="str">
        <f t="shared" si="13"/>
        <v/>
      </c>
      <c r="O125" s="157" t="str">
        <f t="shared" si="19"/>
        <v/>
      </c>
      <c r="P125" s="158" t="str">
        <f t="shared" si="14"/>
        <v xml:space="preserve"> 95400 </v>
      </c>
      <c r="Q125" s="157">
        <f t="shared" si="17"/>
        <v>0.05</v>
      </c>
      <c r="R125" s="157">
        <f t="shared" si="18"/>
        <v>0</v>
      </c>
    </row>
    <row r="126" spans="1:18" ht="15" customHeight="1" x14ac:dyDescent="0.2">
      <c r="A126" s="243" t="s">
        <v>30</v>
      </c>
      <c r="B126" s="216" t="s">
        <v>345</v>
      </c>
      <c r="C126" s="243" t="str">
        <f>VLOOKUP(B126,INSUMOS!$A:$I,2,FALSE)</f>
        <v>SINAPI</v>
      </c>
      <c r="D126" s="243" t="str">
        <f>VLOOKUP(B126,INSUMOS!$A:$I,3,FALSE)</f>
        <v>DESENHISTA PROJETISTA</v>
      </c>
      <c r="E126" s="281" t="str">
        <f>VLOOKUP(B126,INSUMOS!$A:$I,4,FALSE)</f>
        <v>Mão de Obra</v>
      </c>
      <c r="F126" s="281"/>
      <c r="G126" s="215" t="str">
        <f>VLOOKUP(B126,INSUMOS!$A:$I,5,FALSE)</f>
        <v>H</v>
      </c>
      <c r="H126" s="218">
        <v>3.5000000000000001E-3</v>
      </c>
      <c r="I126" s="217">
        <f>VLOOKUP(B126,INSUMOS!$A:$I,8,FALSE)</f>
        <v>16.11</v>
      </c>
      <c r="J126" s="217">
        <f>TRUNC(H126*I126,2)</f>
        <v>0.05</v>
      </c>
      <c r="K126" s="4"/>
      <c r="L126" s="149">
        <f t="shared" si="15"/>
        <v>14</v>
      </c>
      <c r="M126" s="156">
        <f t="shared" si="12"/>
        <v>0.05</v>
      </c>
      <c r="N126" s="157">
        <f t="shared" si="13"/>
        <v>0.05</v>
      </c>
      <c r="O126" s="157" t="str">
        <f t="shared" si="19"/>
        <v/>
      </c>
      <c r="P126" s="158" t="str">
        <f t="shared" si="14"/>
        <v/>
      </c>
      <c r="Q126" s="157" t="str">
        <f t="shared" si="17"/>
        <v/>
      </c>
      <c r="R126" s="157" t="str">
        <f t="shared" si="18"/>
        <v/>
      </c>
    </row>
    <row r="127" spans="1:18" ht="15" customHeight="1" x14ac:dyDescent="0.2">
      <c r="A127" s="246"/>
      <c r="B127" s="246"/>
      <c r="C127" s="246"/>
      <c r="D127" s="246"/>
      <c r="E127" s="246"/>
      <c r="F127" s="222"/>
      <c r="G127" s="246"/>
      <c r="H127" s="222"/>
      <c r="I127" s="246"/>
      <c r="J127" s="222"/>
      <c r="K127" s="4"/>
      <c r="L127" s="149">
        <f t="shared" si="15"/>
        <v>14</v>
      </c>
      <c r="M127" s="156" t="str">
        <f t="shared" si="12"/>
        <v/>
      </c>
      <c r="N127" s="157" t="str">
        <f t="shared" si="13"/>
        <v/>
      </c>
      <c r="O127" s="157" t="str">
        <f t="shared" si="19"/>
        <v/>
      </c>
      <c r="P127" s="158" t="str">
        <f t="shared" si="14"/>
        <v/>
      </c>
      <c r="Q127" s="157" t="str">
        <f t="shared" si="17"/>
        <v/>
      </c>
      <c r="R127" s="157" t="str">
        <f t="shared" si="18"/>
        <v/>
      </c>
    </row>
    <row r="128" spans="1:18" ht="15" customHeight="1" thickBot="1" x14ac:dyDescent="0.25">
      <c r="A128" s="246"/>
      <c r="B128" s="246"/>
      <c r="C128" s="246"/>
      <c r="D128" s="246"/>
      <c r="E128" s="246"/>
      <c r="F128" s="222"/>
      <c r="G128" s="246"/>
      <c r="H128" s="282"/>
      <c r="I128" s="282"/>
      <c r="J128" s="222"/>
      <c r="K128" s="4"/>
      <c r="L128" s="149">
        <f t="shared" si="15"/>
        <v>14</v>
      </c>
      <c r="M128" s="156" t="str">
        <f t="shared" si="12"/>
        <v/>
      </c>
      <c r="N128" s="157" t="str">
        <f t="shared" si="13"/>
        <v/>
      </c>
      <c r="O128" s="157" t="str">
        <f t="shared" si="19"/>
        <v/>
      </c>
      <c r="P128" s="158" t="str">
        <f t="shared" si="14"/>
        <v/>
      </c>
      <c r="Q128" s="157" t="str">
        <f>IF(P128&lt;&gt;"",SUMIF(L128:L227,L128,N128:N227),"")</f>
        <v/>
      </c>
      <c r="R128" s="157" t="str">
        <f>IF(P128&lt;&gt;"",SUMIF(L128:L227,L128,O128:O227),"")</f>
        <v/>
      </c>
    </row>
    <row r="129" spans="1:18" ht="14.25" customHeight="1" thickTop="1" x14ac:dyDescent="0.2">
      <c r="A129" s="210"/>
      <c r="B129" s="210"/>
      <c r="C129" s="210"/>
      <c r="D129" s="210"/>
      <c r="E129" s="210"/>
      <c r="F129" s="210"/>
      <c r="G129" s="210"/>
      <c r="H129" s="210"/>
      <c r="I129" s="210"/>
      <c r="J129" s="210"/>
      <c r="K129" s="4"/>
      <c r="L129" s="149">
        <f t="shared" si="15"/>
        <v>14</v>
      </c>
      <c r="M129" s="156" t="str">
        <f t="shared" si="12"/>
        <v/>
      </c>
      <c r="N129" s="157" t="str">
        <f t="shared" si="13"/>
        <v/>
      </c>
      <c r="O129" s="157" t="str">
        <f t="shared" si="19"/>
        <v/>
      </c>
      <c r="P129" s="158" t="str">
        <f t="shared" si="14"/>
        <v/>
      </c>
      <c r="Q129" s="157" t="str">
        <f>IF(P129&lt;&gt;"",SUMIF(L129:L227,L129,N129:N227),"")</f>
        <v/>
      </c>
      <c r="R129" s="157" t="str">
        <f>IF(P129&lt;&gt;"",SUMIF(L129:L227,L129,O129:O227),"")</f>
        <v/>
      </c>
    </row>
    <row r="130" spans="1:18" ht="38.25" customHeight="1" x14ac:dyDescent="0.2">
      <c r="A130" s="245"/>
      <c r="B130" s="203" t="s">
        <v>1</v>
      </c>
      <c r="C130" s="245" t="s">
        <v>2</v>
      </c>
      <c r="D130" s="245" t="s">
        <v>3</v>
      </c>
      <c r="E130" s="284" t="s">
        <v>17</v>
      </c>
      <c r="F130" s="284"/>
      <c r="G130" s="202" t="s">
        <v>4</v>
      </c>
      <c r="H130" s="203" t="s">
        <v>5</v>
      </c>
      <c r="I130" s="203" t="s">
        <v>6</v>
      </c>
      <c r="J130" s="203" t="s">
        <v>7</v>
      </c>
      <c r="K130" s="4"/>
      <c r="L130" s="149">
        <f t="shared" si="15"/>
        <v>15</v>
      </c>
      <c r="M130" s="156" t="str">
        <f t="shared" si="12"/>
        <v/>
      </c>
      <c r="N130" s="157" t="str">
        <f t="shared" si="13"/>
        <v/>
      </c>
      <c r="O130" s="157" t="str">
        <f t="shared" si="19"/>
        <v/>
      </c>
      <c r="P130" s="158" t="str">
        <f t="shared" si="14"/>
        <v/>
      </c>
      <c r="Q130" s="157" t="str">
        <f>IF(P130&lt;&gt;"",SUMIF(L130:L227,L130,N130:N227),"")</f>
        <v/>
      </c>
      <c r="R130" s="157" t="str">
        <f>IF(P130&lt;&gt;"",SUMIF(L130:L227,L130,O130:O227),"")</f>
        <v/>
      </c>
    </row>
    <row r="131" spans="1:18" ht="14.25" customHeight="1" x14ac:dyDescent="0.2">
      <c r="A131" s="247" t="s">
        <v>18</v>
      </c>
      <c r="B131" s="207" t="s">
        <v>271</v>
      </c>
      <c r="C131" s="247" t="s">
        <v>8</v>
      </c>
      <c r="D131" s="247" t="s">
        <v>272</v>
      </c>
      <c r="E131" s="285" t="s">
        <v>26</v>
      </c>
      <c r="F131" s="285"/>
      <c r="G131" s="206" t="s">
        <v>27</v>
      </c>
      <c r="H131" s="209">
        <v>1</v>
      </c>
      <c r="I131" s="208">
        <f>SUMIF(L:L,$L131,M:M)</f>
        <v>0.38</v>
      </c>
      <c r="J131" s="208">
        <f>TRUNC(H131*I131,2)</f>
        <v>0.38</v>
      </c>
      <c r="K131" s="4"/>
      <c r="L131" s="149">
        <f t="shared" si="15"/>
        <v>15</v>
      </c>
      <c r="M131" s="156" t="str">
        <f t="shared" si="12"/>
        <v/>
      </c>
      <c r="N131" s="157" t="str">
        <f t="shared" si="13"/>
        <v/>
      </c>
      <c r="O131" s="157" t="str">
        <f t="shared" si="19"/>
        <v/>
      </c>
      <c r="P131" s="158" t="str">
        <f t="shared" si="14"/>
        <v xml:space="preserve"> 95332 </v>
      </c>
      <c r="Q131" s="157">
        <f>IF(P131&lt;&gt;"",SUMIF(L131:L227,L131,N131:N227),"")</f>
        <v>0.38</v>
      </c>
      <c r="R131" s="157">
        <f>IF(P131&lt;&gt;"",SUMIF(L131:L227,L131,O131:O227),"")</f>
        <v>0</v>
      </c>
    </row>
    <row r="132" spans="1:18" x14ac:dyDescent="0.2">
      <c r="A132" s="243" t="s">
        <v>30</v>
      </c>
      <c r="B132" s="216" t="s">
        <v>191</v>
      </c>
      <c r="C132" s="243" t="str">
        <f>VLOOKUP(B132,INSUMOS!$A:$I,2,FALSE)</f>
        <v>SINAPI</v>
      </c>
      <c r="D132" s="243" t="str">
        <f>VLOOKUP(B132,INSUMOS!$A:$I,3,FALSE)</f>
        <v>ELETRICISTA</v>
      </c>
      <c r="E132" s="281" t="str">
        <f>VLOOKUP(B132,INSUMOS!$A:$I,4,FALSE)</f>
        <v>Mão de Obra</v>
      </c>
      <c r="F132" s="281"/>
      <c r="G132" s="215" t="str">
        <f>VLOOKUP(B132,INSUMOS!$A:$I,5,FALSE)</f>
        <v>H</v>
      </c>
      <c r="H132" s="218">
        <v>2.5700000000000001E-2</v>
      </c>
      <c r="I132" s="217">
        <f>VLOOKUP(B132,INSUMOS!$A:$I,8,FALSE)</f>
        <v>15.13</v>
      </c>
      <c r="J132" s="217">
        <f>TRUNC(H132*I132,2)</f>
        <v>0.38</v>
      </c>
      <c r="K132" s="4"/>
      <c r="L132" s="149">
        <f t="shared" si="15"/>
        <v>15</v>
      </c>
      <c r="M132" s="156">
        <f t="shared" si="12"/>
        <v>0.38</v>
      </c>
      <c r="N132" s="157">
        <f t="shared" si="13"/>
        <v>0.38</v>
      </c>
      <c r="O132" s="157" t="str">
        <f t="shared" si="19"/>
        <v/>
      </c>
      <c r="P132" s="158" t="str">
        <f t="shared" si="14"/>
        <v/>
      </c>
      <c r="Q132" s="157" t="str">
        <f>IF(P132&lt;&gt;"",SUMIF(L132:L227,L132,N132:N227),"")</f>
        <v/>
      </c>
      <c r="R132" s="157" t="str">
        <f>IF(P132&lt;&gt;"",SUMIF(L132:L227,L132,O132:O227),"")</f>
        <v/>
      </c>
    </row>
    <row r="133" spans="1:18" ht="14.25" customHeight="1" x14ac:dyDescent="0.2">
      <c r="A133" s="246"/>
      <c r="B133" s="246"/>
      <c r="C133" s="246"/>
      <c r="D133" s="246"/>
      <c r="E133" s="246"/>
      <c r="F133" s="222"/>
      <c r="G133" s="246"/>
      <c r="H133" s="222"/>
      <c r="I133" s="246"/>
      <c r="J133" s="222"/>
      <c r="K133" s="4"/>
      <c r="L133" s="149">
        <f t="shared" si="15"/>
        <v>15</v>
      </c>
      <c r="M133" s="156" t="str">
        <f t="shared" si="12"/>
        <v/>
      </c>
      <c r="N133" s="157" t="str">
        <f t="shared" si="13"/>
        <v/>
      </c>
      <c r="O133" s="157" t="str">
        <f t="shared" si="19"/>
        <v/>
      </c>
      <c r="P133" s="158" t="str">
        <f t="shared" si="14"/>
        <v/>
      </c>
      <c r="Q133" s="157" t="str">
        <f>IF(P133&lt;&gt;"",SUMIF(L133:L227,L133,N133:N227),"")</f>
        <v/>
      </c>
      <c r="R133" s="157" t="str">
        <f>IF(P133&lt;&gt;"",SUMIF(L133:L227,L133,O133:O227),"")</f>
        <v/>
      </c>
    </row>
    <row r="134" spans="1:18" ht="25.5" customHeight="1" thickBot="1" x14ac:dyDescent="0.25">
      <c r="A134" s="246"/>
      <c r="B134" s="246"/>
      <c r="C134" s="246"/>
      <c r="D134" s="246"/>
      <c r="E134" s="246"/>
      <c r="F134" s="222"/>
      <c r="G134" s="246"/>
      <c r="H134" s="282"/>
      <c r="I134" s="282"/>
      <c r="J134" s="222"/>
      <c r="K134" s="4"/>
      <c r="L134" s="149">
        <f t="shared" si="15"/>
        <v>15</v>
      </c>
      <c r="M134" s="156" t="str">
        <f t="shared" si="12"/>
        <v/>
      </c>
      <c r="N134" s="157" t="str">
        <f t="shared" si="13"/>
        <v/>
      </c>
      <c r="O134" s="157" t="str">
        <f t="shared" si="19"/>
        <v/>
      </c>
      <c r="P134" s="158" t="str">
        <f t="shared" si="14"/>
        <v/>
      </c>
      <c r="Q134" s="157" t="str">
        <f>IF(P134&lt;&gt;"",SUMIF(L134:L227,L134,N134:N227),"")</f>
        <v/>
      </c>
      <c r="R134" s="157" t="str">
        <f>IF(P134&lt;&gt;"",SUMIF(L134:L227,L134,O134:O227),"")</f>
        <v/>
      </c>
    </row>
    <row r="135" spans="1:18" ht="15" customHeight="1" thickTop="1" x14ac:dyDescent="0.2">
      <c r="A135" s="210"/>
      <c r="B135" s="210"/>
      <c r="C135" s="210"/>
      <c r="D135" s="210"/>
      <c r="E135" s="210"/>
      <c r="F135" s="210"/>
      <c r="G135" s="210"/>
      <c r="H135" s="210"/>
      <c r="I135" s="210"/>
      <c r="J135" s="210"/>
      <c r="K135" s="4"/>
      <c r="L135" s="149">
        <f t="shared" si="15"/>
        <v>15</v>
      </c>
      <c r="M135" s="156" t="str">
        <f t="shared" si="12"/>
        <v/>
      </c>
      <c r="N135" s="157" t="str">
        <f t="shared" si="13"/>
        <v/>
      </c>
      <c r="O135" s="157" t="str">
        <f t="shared" si="19"/>
        <v/>
      </c>
      <c r="P135" s="158" t="str">
        <f t="shared" si="14"/>
        <v/>
      </c>
      <c r="Q135" s="157" t="str">
        <f>IF(P135&lt;&gt;"",SUMIF(L135:L227,L135,N135:N227),"")</f>
        <v/>
      </c>
      <c r="R135" s="157" t="str">
        <f>IF(P135&lt;&gt;"",SUMIF(L135:L227,L135,O135:O227),"")</f>
        <v/>
      </c>
    </row>
    <row r="136" spans="1:18" ht="38.25" customHeight="1" x14ac:dyDescent="0.2">
      <c r="A136" s="245"/>
      <c r="B136" s="203" t="s">
        <v>1</v>
      </c>
      <c r="C136" s="245" t="s">
        <v>2</v>
      </c>
      <c r="D136" s="245" t="s">
        <v>3</v>
      </c>
      <c r="E136" s="284" t="s">
        <v>17</v>
      </c>
      <c r="F136" s="284"/>
      <c r="G136" s="202" t="s">
        <v>4</v>
      </c>
      <c r="H136" s="203" t="s">
        <v>5</v>
      </c>
      <c r="I136" s="203" t="s">
        <v>6</v>
      </c>
      <c r="J136" s="203" t="s">
        <v>7</v>
      </c>
      <c r="K136" s="4"/>
      <c r="L136" s="149">
        <f t="shared" si="15"/>
        <v>16</v>
      </c>
      <c r="M136" s="156" t="str">
        <f t="shared" si="12"/>
        <v/>
      </c>
      <c r="N136" s="157" t="str">
        <f t="shared" si="13"/>
        <v/>
      </c>
      <c r="O136" s="157" t="str">
        <f t="shared" si="19"/>
        <v/>
      </c>
      <c r="P136" s="158" t="str">
        <f t="shared" si="14"/>
        <v/>
      </c>
      <c r="Q136" s="157" t="str">
        <f>IF(P136&lt;&gt;"",SUMIF(L136:L227,L136,N136:N227),"")</f>
        <v/>
      </c>
      <c r="R136" s="157" t="str">
        <f>IF(P136&lt;&gt;"",SUMIF(L136:L227,L136,O136:O227),"")</f>
        <v/>
      </c>
    </row>
    <row r="137" spans="1:18" ht="38.25" customHeight="1" x14ac:dyDescent="0.2">
      <c r="A137" s="247" t="s">
        <v>18</v>
      </c>
      <c r="B137" s="207" t="s">
        <v>284</v>
      </c>
      <c r="C137" s="247" t="s">
        <v>8</v>
      </c>
      <c r="D137" s="247" t="s">
        <v>285</v>
      </c>
      <c r="E137" s="285" t="s">
        <v>26</v>
      </c>
      <c r="F137" s="285"/>
      <c r="G137" s="206" t="s">
        <v>27</v>
      </c>
      <c r="H137" s="209">
        <v>1</v>
      </c>
      <c r="I137" s="208">
        <f>SUMIF(L:L,$L137,M:M)</f>
        <v>0.37</v>
      </c>
      <c r="J137" s="208">
        <f>TRUNC(H137*I137,2)</f>
        <v>0.37</v>
      </c>
      <c r="K137" s="4"/>
      <c r="L137" s="149">
        <f t="shared" si="15"/>
        <v>16</v>
      </c>
      <c r="M137" s="156" t="str">
        <f t="shared" si="12"/>
        <v/>
      </c>
      <c r="N137" s="157" t="str">
        <f t="shared" si="13"/>
        <v/>
      </c>
      <c r="O137" s="157" t="str">
        <f t="shared" si="19"/>
        <v/>
      </c>
      <c r="P137" s="158" t="str">
        <f t="shared" si="14"/>
        <v xml:space="preserve"> 95334 </v>
      </c>
      <c r="Q137" s="157">
        <f>IF(P137&lt;&gt;"",SUMIF(L137:L227,L137,N137:N227),"")</f>
        <v>0.37</v>
      </c>
      <c r="R137" s="157">
        <f>IF(P137&lt;&gt;"",SUMIF(L137:L227,L137,O137:O227),"")</f>
        <v>0</v>
      </c>
    </row>
    <row r="138" spans="1:18" ht="38.25" customHeight="1" x14ac:dyDescent="0.2">
      <c r="A138" s="243" t="s">
        <v>30</v>
      </c>
      <c r="B138" s="216" t="s">
        <v>282</v>
      </c>
      <c r="C138" s="243" t="str">
        <f>VLOOKUP(B138,INSUMOS!$A:$I,2,FALSE)</f>
        <v>SINAPI</v>
      </c>
      <c r="D138" s="243" t="str">
        <f>VLOOKUP(B138,INSUMOS!$A:$I,3,FALSE)</f>
        <v>ELETROTECNICO</v>
      </c>
      <c r="E138" s="281" t="str">
        <f>VLOOKUP(B138,INSUMOS!$A:$I,4,FALSE)</f>
        <v>Mão de Obra</v>
      </c>
      <c r="F138" s="281"/>
      <c r="G138" s="215" t="str">
        <f>VLOOKUP(B138,INSUMOS!$A:$I,5,FALSE)</f>
        <v>H</v>
      </c>
      <c r="H138" s="218">
        <v>2.1299999999999999E-2</v>
      </c>
      <c r="I138" s="217">
        <f>VLOOKUP(B138,INSUMOS!$A:$I,8,FALSE)</f>
        <v>17.43</v>
      </c>
      <c r="J138" s="217">
        <f>TRUNC(H138*I138,2)</f>
        <v>0.37</v>
      </c>
      <c r="K138" s="4"/>
      <c r="L138" s="149">
        <f t="shared" si="15"/>
        <v>16</v>
      </c>
      <c r="M138" s="156">
        <f t="shared" si="12"/>
        <v>0.37</v>
      </c>
      <c r="N138" s="157">
        <f t="shared" si="13"/>
        <v>0.37</v>
      </c>
      <c r="O138" s="157" t="str">
        <f t="shared" si="19"/>
        <v/>
      </c>
      <c r="P138" s="158" t="str">
        <f t="shared" si="14"/>
        <v/>
      </c>
      <c r="Q138" s="157" t="str">
        <f>IF(P138&lt;&gt;"",SUMIF(L138:L227,L138,N138:N227),"")</f>
        <v/>
      </c>
      <c r="R138" s="157" t="str">
        <f>IF(P138&lt;&gt;"",SUMIF(L138:L227,L138,O138:O227),"")</f>
        <v/>
      </c>
    </row>
    <row r="139" spans="1:18" ht="15" customHeight="1" x14ac:dyDescent="0.2">
      <c r="A139" s="246"/>
      <c r="B139" s="246"/>
      <c r="C139" s="246"/>
      <c r="D139" s="246"/>
      <c r="E139" s="246"/>
      <c r="F139" s="222"/>
      <c r="G139" s="246"/>
      <c r="H139" s="222"/>
      <c r="I139" s="246"/>
      <c r="J139" s="222"/>
      <c r="K139" s="4"/>
      <c r="L139" s="149">
        <f t="shared" si="15"/>
        <v>16</v>
      </c>
      <c r="M139" s="156" t="str">
        <f t="shared" si="12"/>
        <v/>
      </c>
      <c r="N139" s="157" t="str">
        <f t="shared" si="13"/>
        <v/>
      </c>
      <c r="O139" s="157" t="str">
        <f t="shared" si="19"/>
        <v/>
      </c>
      <c r="P139" s="158" t="str">
        <f t="shared" si="14"/>
        <v/>
      </c>
      <c r="Q139" s="157" t="str">
        <f>IF(P139&lt;&gt;"",SUMIF(L139:L227,L139,N139:N227),"")</f>
        <v/>
      </c>
      <c r="R139" s="157" t="str">
        <f>IF(P139&lt;&gt;"",SUMIF(L139:L227,L139,O139:O227),"")</f>
        <v/>
      </c>
    </row>
    <row r="140" spans="1:18" ht="15" customHeight="1" thickBot="1" x14ac:dyDescent="0.25">
      <c r="A140" s="246"/>
      <c r="B140" s="246"/>
      <c r="C140" s="246"/>
      <c r="D140" s="246"/>
      <c r="E140" s="246"/>
      <c r="F140" s="222"/>
      <c r="G140" s="246"/>
      <c r="H140" s="282"/>
      <c r="I140" s="282"/>
      <c r="J140" s="222"/>
      <c r="K140" s="4"/>
      <c r="L140" s="149">
        <f t="shared" si="15"/>
        <v>16</v>
      </c>
      <c r="M140" s="156" t="str">
        <f t="shared" si="12"/>
        <v/>
      </c>
      <c r="N140" s="157" t="str">
        <f t="shared" si="13"/>
        <v/>
      </c>
      <c r="O140" s="157" t="str">
        <f t="shared" si="19"/>
        <v/>
      </c>
      <c r="P140" s="158" t="str">
        <f t="shared" si="14"/>
        <v/>
      </c>
      <c r="Q140" s="157" t="str">
        <f>IF(P140&lt;&gt;"",SUMIF(L140:L227,L140,N140:N227),"")</f>
        <v/>
      </c>
      <c r="R140" s="157" t="str">
        <f>IF(P140&lt;&gt;"",SUMIF(L140:L227,L140,O140:O227),"")</f>
        <v/>
      </c>
    </row>
    <row r="141" spans="1:18" ht="15" thickTop="1" x14ac:dyDescent="0.2">
      <c r="A141" s="210"/>
      <c r="B141" s="210"/>
      <c r="C141" s="210"/>
      <c r="D141" s="210"/>
      <c r="E141" s="210"/>
      <c r="F141" s="210"/>
      <c r="G141" s="210"/>
      <c r="H141" s="210"/>
      <c r="I141" s="210"/>
      <c r="J141" s="210"/>
      <c r="K141" s="4"/>
      <c r="L141" s="149">
        <f t="shared" si="15"/>
        <v>16</v>
      </c>
      <c r="M141" s="156" t="str">
        <f t="shared" si="12"/>
        <v/>
      </c>
      <c r="N141" s="157" t="str">
        <f t="shared" si="13"/>
        <v/>
      </c>
      <c r="O141" s="157" t="str">
        <f t="shared" si="19"/>
        <v/>
      </c>
      <c r="P141" s="158" t="str">
        <f t="shared" si="14"/>
        <v/>
      </c>
      <c r="Q141" s="157" t="str">
        <f>IF(P141&lt;&gt;"",SUMIF(L141:L227,L141,N141:N227),"")</f>
        <v/>
      </c>
      <c r="R141" s="157" t="str">
        <f>IF(P141&lt;&gt;"",SUMIF(L141:L227,L141,O141:O227),"")</f>
        <v/>
      </c>
    </row>
    <row r="142" spans="1:18" ht="38.25" customHeight="1" x14ac:dyDescent="0.2">
      <c r="A142" s="245"/>
      <c r="B142" s="203" t="s">
        <v>1</v>
      </c>
      <c r="C142" s="245" t="s">
        <v>2</v>
      </c>
      <c r="D142" s="245" t="s">
        <v>3</v>
      </c>
      <c r="E142" s="284" t="s">
        <v>17</v>
      </c>
      <c r="F142" s="284"/>
      <c r="G142" s="202" t="s">
        <v>4</v>
      </c>
      <c r="H142" s="203" t="s">
        <v>5</v>
      </c>
      <c r="I142" s="203" t="s">
        <v>6</v>
      </c>
      <c r="J142" s="203" t="s">
        <v>7</v>
      </c>
      <c r="K142" s="4"/>
      <c r="L142" s="149">
        <f t="shared" si="15"/>
        <v>17</v>
      </c>
      <c r="M142" s="156" t="str">
        <f t="shared" si="12"/>
        <v/>
      </c>
      <c r="N142" s="157" t="str">
        <f t="shared" si="13"/>
        <v/>
      </c>
      <c r="O142" s="157" t="str">
        <f t="shared" si="19"/>
        <v/>
      </c>
      <c r="P142" s="158" t="str">
        <f t="shared" si="14"/>
        <v/>
      </c>
      <c r="Q142" s="157" t="str">
        <f>IF(P142&lt;&gt;"",SUMIF(L142:L227,L142,N142:N227),"")</f>
        <v/>
      </c>
      <c r="R142" s="157" t="str">
        <f>IF(P142&lt;&gt;"",SUMIF(L142:L227,L142,O142:O227),"")</f>
        <v/>
      </c>
    </row>
    <row r="143" spans="1:18" ht="38.25" customHeight="1" x14ac:dyDescent="0.2">
      <c r="A143" s="247" t="s">
        <v>18</v>
      </c>
      <c r="B143" s="207" t="s">
        <v>273</v>
      </c>
      <c r="C143" s="247" t="s">
        <v>8</v>
      </c>
      <c r="D143" s="247" t="s">
        <v>274</v>
      </c>
      <c r="E143" s="285" t="s">
        <v>26</v>
      </c>
      <c r="F143" s="285"/>
      <c r="G143" s="206" t="s">
        <v>27</v>
      </c>
      <c r="H143" s="209">
        <v>1</v>
      </c>
      <c r="I143" s="208">
        <f>SUMIF(L:L,$L143,M:M)</f>
        <v>2.87</v>
      </c>
      <c r="J143" s="208">
        <f>TRUNC(H143*I143,2)</f>
        <v>2.87</v>
      </c>
      <c r="K143" s="4"/>
      <c r="L143" s="149">
        <f t="shared" si="15"/>
        <v>17</v>
      </c>
      <c r="M143" s="156" t="str">
        <f t="shared" si="12"/>
        <v/>
      </c>
      <c r="N143" s="157" t="str">
        <f t="shared" si="13"/>
        <v/>
      </c>
      <c r="O143" s="157" t="str">
        <f t="shared" si="19"/>
        <v/>
      </c>
      <c r="P143" s="158" t="str">
        <f t="shared" si="14"/>
        <v xml:space="preserve"> 95407 </v>
      </c>
      <c r="Q143" s="157">
        <f>IF(P143&lt;&gt;"",SUMIF(L143:L227,L143,N143:N227),"")</f>
        <v>2.87</v>
      </c>
      <c r="R143" s="157">
        <f>IF(P143&lt;&gt;"",SUMIF(L143:L227,L143,O143:O227),"")</f>
        <v>0</v>
      </c>
    </row>
    <row r="144" spans="1:18" ht="38.25" customHeight="1" x14ac:dyDescent="0.2">
      <c r="A144" s="243" t="s">
        <v>30</v>
      </c>
      <c r="B144" s="216" t="s">
        <v>196</v>
      </c>
      <c r="C144" s="243" t="str">
        <f>VLOOKUP(B144,INSUMOS!$A:$I,2,FALSE)</f>
        <v>SINAPI</v>
      </c>
      <c r="D144" s="243" t="str">
        <f>VLOOKUP(B144,INSUMOS!$A:$I,3,FALSE)</f>
        <v>ENGENHEIRO ELETRICISTA</v>
      </c>
      <c r="E144" s="281" t="str">
        <f>VLOOKUP(B144,INSUMOS!$A:$I,4,FALSE)</f>
        <v>Mão de Obra</v>
      </c>
      <c r="F144" s="281"/>
      <c r="G144" s="215" t="str">
        <f>VLOOKUP(B144,INSUMOS!$A:$I,5,FALSE)</f>
        <v>H</v>
      </c>
      <c r="H144" s="218">
        <v>2.35E-2</v>
      </c>
      <c r="I144" s="217">
        <f>VLOOKUP(B144,INSUMOS!$A:$I,8,FALSE)</f>
        <v>122.47</v>
      </c>
      <c r="J144" s="217">
        <f>TRUNC(H144*I144,2)</f>
        <v>2.87</v>
      </c>
      <c r="K144" s="4"/>
      <c r="L144" s="149">
        <f t="shared" si="15"/>
        <v>17</v>
      </c>
      <c r="M144" s="156">
        <f t="shared" ref="M144:M207" si="21">IF(OR(A144="Insumo",A144="Composição Auxiliar"),J144,"")</f>
        <v>2.87</v>
      </c>
      <c r="N144" s="157">
        <f t="shared" ref="N144:N207" si="22">IF(E144="Mão de Obra",J144,"")</f>
        <v>2.87</v>
      </c>
      <c r="O144" s="157" t="str">
        <f t="shared" si="19"/>
        <v/>
      </c>
      <c r="P144" s="158" t="str">
        <f t="shared" ref="P144:P207" si="23">IF(A144="Composição",B144,"")</f>
        <v/>
      </c>
      <c r="Q144" s="157" t="str">
        <f>IF(P144&lt;&gt;"",SUMIF(L144:L227,L144,N144:N227),"")</f>
        <v/>
      </c>
      <c r="R144" s="157" t="str">
        <f>IF(P144&lt;&gt;"",SUMIF(L144:L227,L144,O144:O227),"")</f>
        <v/>
      </c>
    </row>
    <row r="145" spans="1:18" ht="38.25" customHeight="1" x14ac:dyDescent="0.2">
      <c r="A145" s="246"/>
      <c r="B145" s="246"/>
      <c r="C145" s="246"/>
      <c r="D145" s="246"/>
      <c r="E145" s="246"/>
      <c r="F145" s="222"/>
      <c r="G145" s="246"/>
      <c r="H145" s="222"/>
      <c r="I145" s="246"/>
      <c r="J145" s="222"/>
      <c r="K145" s="4"/>
      <c r="L145" s="149">
        <f t="shared" ref="L145:L208" si="24">IF(AND(A146&lt;&gt;"",A145=""),L144+1,L144)</f>
        <v>17</v>
      </c>
      <c r="M145" s="156" t="str">
        <f t="shared" si="21"/>
        <v/>
      </c>
      <c r="N145" s="157" t="str">
        <f t="shared" si="22"/>
        <v/>
      </c>
      <c r="O145" s="157" t="str">
        <f t="shared" si="19"/>
        <v/>
      </c>
      <c r="P145" s="158" t="str">
        <f t="shared" si="23"/>
        <v/>
      </c>
      <c r="Q145" s="157" t="str">
        <f>IF(P145&lt;&gt;"",SUMIF(L145:L227,L145,N145:N227),"")</f>
        <v/>
      </c>
      <c r="R145" s="157" t="str">
        <f>IF(P145&lt;&gt;"",SUMIF(L145:L227,L145,O145:O227),"")</f>
        <v/>
      </c>
    </row>
    <row r="146" spans="1:18" ht="38.25" customHeight="1" thickBot="1" x14ac:dyDescent="0.25">
      <c r="A146" s="246"/>
      <c r="B146" s="246"/>
      <c r="C146" s="246"/>
      <c r="D146" s="246"/>
      <c r="E146" s="246"/>
      <c r="F146" s="222"/>
      <c r="G146" s="246"/>
      <c r="H146" s="282"/>
      <c r="I146" s="282"/>
      <c r="J146" s="222"/>
      <c r="K146" s="4"/>
      <c r="L146" s="149">
        <f t="shared" si="24"/>
        <v>17</v>
      </c>
      <c r="M146" s="156" t="str">
        <f t="shared" si="21"/>
        <v/>
      </c>
      <c r="N146" s="157" t="str">
        <f t="shared" si="22"/>
        <v/>
      </c>
      <c r="O146" s="157" t="str">
        <f t="shared" si="19"/>
        <v/>
      </c>
      <c r="P146" s="158" t="str">
        <f t="shared" si="23"/>
        <v/>
      </c>
      <c r="Q146" s="157" t="str">
        <f>IF(P146&lt;&gt;"",SUMIF(L146:L227,L146,N146:N227),"")</f>
        <v/>
      </c>
      <c r="R146" s="157" t="str">
        <f>IF(P146&lt;&gt;"",SUMIF(L146:L227,L146,O146:O227),"")</f>
        <v/>
      </c>
    </row>
    <row r="147" spans="1:18" ht="38.25" customHeight="1" thickTop="1" x14ac:dyDescent="0.2">
      <c r="A147" s="210"/>
      <c r="B147" s="210"/>
      <c r="C147" s="210"/>
      <c r="D147" s="210"/>
      <c r="E147" s="210"/>
      <c r="F147" s="210"/>
      <c r="G147" s="210"/>
      <c r="H147" s="210"/>
      <c r="I147" s="210"/>
      <c r="J147" s="210"/>
      <c r="K147" s="4"/>
      <c r="L147" s="149">
        <f t="shared" si="24"/>
        <v>17</v>
      </c>
      <c r="M147" s="156" t="str">
        <f t="shared" si="21"/>
        <v/>
      </c>
      <c r="N147" s="157" t="str">
        <f t="shared" si="22"/>
        <v/>
      </c>
      <c r="O147" s="157" t="str">
        <f t="shared" si="19"/>
        <v/>
      </c>
      <c r="P147" s="158" t="str">
        <f t="shared" si="23"/>
        <v/>
      </c>
      <c r="Q147" s="157" t="str">
        <f>IF(P147&lt;&gt;"",SUMIF(L147:L227,L147,N147:N227),"")</f>
        <v/>
      </c>
      <c r="R147" s="157" t="str">
        <f>IF(P147&lt;&gt;"",SUMIF(L147:L227,L147,O147:O227),"")</f>
        <v/>
      </c>
    </row>
    <row r="148" spans="1:18" ht="14.25" customHeight="1" x14ac:dyDescent="0.2">
      <c r="A148" s="245"/>
      <c r="B148" s="203" t="s">
        <v>1</v>
      </c>
      <c r="C148" s="245" t="s">
        <v>2</v>
      </c>
      <c r="D148" s="245" t="s">
        <v>3</v>
      </c>
      <c r="E148" s="284" t="s">
        <v>17</v>
      </c>
      <c r="F148" s="284"/>
      <c r="G148" s="202" t="s">
        <v>4</v>
      </c>
      <c r="H148" s="203" t="s">
        <v>5</v>
      </c>
      <c r="I148" s="203" t="s">
        <v>6</v>
      </c>
      <c r="J148" s="203" t="s">
        <v>7</v>
      </c>
      <c r="K148" s="4"/>
      <c r="L148" s="149">
        <f t="shared" si="24"/>
        <v>18</v>
      </c>
      <c r="M148" s="156" t="str">
        <f t="shared" si="21"/>
        <v/>
      </c>
      <c r="N148" s="157" t="str">
        <f t="shared" si="22"/>
        <v/>
      </c>
      <c r="O148" s="157" t="str">
        <f t="shared" si="19"/>
        <v/>
      </c>
      <c r="P148" s="158" t="str">
        <f t="shared" si="23"/>
        <v/>
      </c>
      <c r="Q148" s="157" t="str">
        <f>IF(P148&lt;&gt;"",SUMIF(L148:L227,L148,N148:N227),"")</f>
        <v/>
      </c>
      <c r="R148" s="157" t="str">
        <f>IF(P148&lt;&gt;"",SUMIF(L148:L227,L148,O148:O227),"")</f>
        <v/>
      </c>
    </row>
    <row r="149" spans="1:18" ht="38.25" customHeight="1" x14ac:dyDescent="0.2">
      <c r="A149" s="247" t="s">
        <v>18</v>
      </c>
      <c r="B149" s="207" t="s">
        <v>107</v>
      </c>
      <c r="C149" s="247" t="s">
        <v>8</v>
      </c>
      <c r="D149" s="247" t="s">
        <v>71</v>
      </c>
      <c r="E149" s="285" t="s">
        <v>26</v>
      </c>
      <c r="F149" s="285"/>
      <c r="G149" s="206" t="s">
        <v>27</v>
      </c>
      <c r="H149" s="209">
        <v>1</v>
      </c>
      <c r="I149" s="208">
        <f>SUMIF(L:L,$L149,M:M)</f>
        <v>0.1</v>
      </c>
      <c r="J149" s="208">
        <f>TRUNC(H149*I149,2)</f>
        <v>0.1</v>
      </c>
      <c r="K149" s="4"/>
      <c r="L149" s="149">
        <f t="shared" si="24"/>
        <v>18</v>
      </c>
      <c r="M149" s="156" t="str">
        <f t="shared" si="21"/>
        <v/>
      </c>
      <c r="N149" s="157" t="str">
        <f t="shared" si="22"/>
        <v/>
      </c>
      <c r="O149" s="157" t="str">
        <f t="shared" ref="O149:O212" si="25">IF(N149&lt;&gt;"","",M149)</f>
        <v/>
      </c>
      <c r="P149" s="158" t="str">
        <f t="shared" si="23"/>
        <v xml:space="preserve"> 95344 </v>
      </c>
      <c r="Q149" s="157">
        <f>IF(P149&lt;&gt;"",SUMIF(L149:L227,L149,N149:N227),"")</f>
        <v>0.1</v>
      </c>
      <c r="R149" s="157">
        <f>IF(P149&lt;&gt;"",SUMIF(L149:L227,L149,O149:O227),"")</f>
        <v>0</v>
      </c>
    </row>
    <row r="150" spans="1:18" ht="38.25" customHeight="1" x14ac:dyDescent="0.2">
      <c r="A150" s="243" t="s">
        <v>30</v>
      </c>
      <c r="B150" s="216" t="s">
        <v>108</v>
      </c>
      <c r="C150" s="243" t="str">
        <f>VLOOKUP(B150,INSUMOS!$A:$I,2,FALSE)</f>
        <v>SINAPI</v>
      </c>
      <c r="D150" s="243" t="str">
        <f>VLOOKUP(B150,INSUMOS!$A:$I,3,FALSE)</f>
        <v>MONTADOR DE ESTRUTURAS METALICAS</v>
      </c>
      <c r="E150" s="281" t="str">
        <f>VLOOKUP(B150,INSUMOS!$A:$I,4,FALSE)</f>
        <v>Mão de Obra</v>
      </c>
      <c r="F150" s="281"/>
      <c r="G150" s="215" t="str">
        <f>VLOOKUP(B150,INSUMOS!$A:$I,5,FALSE)</f>
        <v>H</v>
      </c>
      <c r="H150" s="218">
        <v>7.9000000000000008E-3</v>
      </c>
      <c r="I150" s="217">
        <f>VLOOKUP(B150,INSUMOS!$A:$I,8,FALSE)</f>
        <v>12.68</v>
      </c>
      <c r="J150" s="217">
        <f>TRUNC(H150*I150,2)</f>
        <v>0.1</v>
      </c>
      <c r="K150" s="4"/>
      <c r="L150" s="149">
        <f t="shared" si="24"/>
        <v>18</v>
      </c>
      <c r="M150" s="156">
        <f t="shared" si="21"/>
        <v>0.1</v>
      </c>
      <c r="N150" s="157">
        <f t="shared" si="22"/>
        <v>0.1</v>
      </c>
      <c r="O150" s="157" t="str">
        <f t="shared" si="25"/>
        <v/>
      </c>
      <c r="P150" s="158" t="str">
        <f t="shared" si="23"/>
        <v/>
      </c>
      <c r="Q150" s="157" t="str">
        <f>IF(P150&lt;&gt;"",SUMIF(L150:L227,L150,N150:N227),"")</f>
        <v/>
      </c>
      <c r="R150" s="157" t="str">
        <f>IF(P150&lt;&gt;"",SUMIF(L150:L227,L150,O150:O227),"")</f>
        <v/>
      </c>
    </row>
    <row r="151" spans="1:18" ht="38.25" customHeight="1" x14ac:dyDescent="0.2">
      <c r="A151" s="246"/>
      <c r="B151" s="246"/>
      <c r="C151" s="246"/>
      <c r="D151" s="246"/>
      <c r="E151" s="246"/>
      <c r="F151" s="222"/>
      <c r="G151" s="246"/>
      <c r="H151" s="222"/>
      <c r="I151" s="246"/>
      <c r="J151" s="222"/>
      <c r="K151" s="4"/>
      <c r="L151" s="149">
        <f t="shared" si="24"/>
        <v>18</v>
      </c>
      <c r="M151" s="156" t="str">
        <f t="shared" si="21"/>
        <v/>
      </c>
      <c r="N151" s="157" t="str">
        <f t="shared" si="22"/>
        <v/>
      </c>
      <c r="O151" s="157" t="str">
        <f t="shared" si="25"/>
        <v/>
      </c>
      <c r="P151" s="158" t="str">
        <f t="shared" si="23"/>
        <v/>
      </c>
      <c r="Q151" s="157" t="str">
        <f>IF(P151&lt;&gt;"",SUMIF(L151:L227,L151,N151:N227),"")</f>
        <v/>
      </c>
      <c r="R151" s="157" t="str">
        <f>IF(P151&lt;&gt;"",SUMIF(L151:L227,L151,O151:O227),"")</f>
        <v/>
      </c>
    </row>
    <row r="152" spans="1:18" ht="38.25" customHeight="1" thickBot="1" x14ac:dyDescent="0.25">
      <c r="A152" s="246"/>
      <c r="B152" s="246"/>
      <c r="C152" s="246"/>
      <c r="D152" s="246"/>
      <c r="E152" s="246"/>
      <c r="F152" s="222"/>
      <c r="G152" s="246"/>
      <c r="H152" s="282"/>
      <c r="I152" s="282"/>
      <c r="J152" s="222"/>
      <c r="K152" s="4"/>
      <c r="L152" s="149">
        <f t="shared" si="24"/>
        <v>18</v>
      </c>
      <c r="M152" s="156" t="str">
        <f t="shared" si="21"/>
        <v/>
      </c>
      <c r="N152" s="157" t="str">
        <f t="shared" si="22"/>
        <v/>
      </c>
      <c r="O152" s="157" t="str">
        <f t="shared" si="25"/>
        <v/>
      </c>
      <c r="P152" s="158" t="str">
        <f t="shared" si="23"/>
        <v/>
      </c>
      <c r="Q152" s="157" t="str">
        <f>IF(P152&lt;&gt;"",SUMIF(L152:L227,L152,N152:N227),"")</f>
        <v/>
      </c>
      <c r="R152" s="157" t="str">
        <f>IF(P152&lt;&gt;"",SUMIF(L152:L227,L152,O152:O227),"")</f>
        <v/>
      </c>
    </row>
    <row r="153" spans="1:18" ht="38.25" customHeight="1" thickTop="1" x14ac:dyDescent="0.2">
      <c r="A153" s="210"/>
      <c r="B153" s="210"/>
      <c r="C153" s="210"/>
      <c r="D153" s="210"/>
      <c r="E153" s="210"/>
      <c r="F153" s="210"/>
      <c r="G153" s="210"/>
      <c r="H153" s="210"/>
      <c r="I153" s="210"/>
      <c r="J153" s="210"/>
      <c r="K153" s="4"/>
      <c r="L153" s="149">
        <f t="shared" si="24"/>
        <v>18</v>
      </c>
      <c r="M153" s="156" t="str">
        <f t="shared" si="21"/>
        <v/>
      </c>
      <c r="N153" s="157" t="str">
        <f t="shared" si="22"/>
        <v/>
      </c>
      <c r="O153" s="157" t="str">
        <f t="shared" si="25"/>
        <v/>
      </c>
      <c r="P153" s="158" t="str">
        <f t="shared" si="23"/>
        <v/>
      </c>
      <c r="Q153" s="157" t="str">
        <f>IF(P153&lt;&gt;"",SUMIF(L153:L227,L153,N153:N227),"")</f>
        <v/>
      </c>
      <c r="R153" s="157" t="str">
        <f>IF(P153&lt;&gt;"",SUMIF(L153:L227,L153,O153:O227),"")</f>
        <v/>
      </c>
    </row>
    <row r="154" spans="1:18" ht="15" x14ac:dyDescent="0.2">
      <c r="A154" s="245"/>
      <c r="B154" s="203" t="s">
        <v>1</v>
      </c>
      <c r="C154" s="245" t="s">
        <v>2</v>
      </c>
      <c r="D154" s="245" t="s">
        <v>3</v>
      </c>
      <c r="E154" s="284" t="s">
        <v>17</v>
      </c>
      <c r="F154" s="284"/>
      <c r="G154" s="202" t="s">
        <v>4</v>
      </c>
      <c r="H154" s="203" t="s">
        <v>5</v>
      </c>
      <c r="I154" s="203" t="s">
        <v>6</v>
      </c>
      <c r="J154" s="203" t="s">
        <v>7</v>
      </c>
      <c r="K154" s="4"/>
      <c r="L154" s="149">
        <f t="shared" si="24"/>
        <v>19</v>
      </c>
      <c r="M154" s="156" t="str">
        <f t="shared" si="21"/>
        <v/>
      </c>
      <c r="N154" s="157" t="str">
        <f t="shared" si="22"/>
        <v/>
      </c>
      <c r="O154" s="157" t="str">
        <f t="shared" si="25"/>
        <v/>
      </c>
      <c r="P154" s="158" t="str">
        <f t="shared" si="23"/>
        <v/>
      </c>
      <c r="Q154" s="157" t="str">
        <f>IF(P154&lt;&gt;"",SUMIF(L154:L227,L154,N154:N227),"")</f>
        <v/>
      </c>
      <c r="R154" s="157" t="str">
        <f>IF(P154&lt;&gt;"",SUMIF(L154:L227,L154,O154:O227),"")</f>
        <v/>
      </c>
    </row>
    <row r="155" spans="1:18" ht="15" customHeight="1" x14ac:dyDescent="0.2">
      <c r="A155" s="247" t="s">
        <v>18</v>
      </c>
      <c r="B155" s="207" t="s">
        <v>109</v>
      </c>
      <c r="C155" s="247" t="s">
        <v>8</v>
      </c>
      <c r="D155" s="247" t="s">
        <v>68</v>
      </c>
      <c r="E155" s="285" t="s">
        <v>26</v>
      </c>
      <c r="F155" s="285"/>
      <c r="G155" s="206" t="s">
        <v>27</v>
      </c>
      <c r="H155" s="209">
        <v>1</v>
      </c>
      <c r="I155" s="208">
        <f>SUMIF(L:L,$L155,M:M)</f>
        <v>0.06</v>
      </c>
      <c r="J155" s="208">
        <f>TRUNC(H155*I155,2)</f>
        <v>0.06</v>
      </c>
      <c r="K155" s="4"/>
      <c r="L155" s="149">
        <f t="shared" si="24"/>
        <v>19</v>
      </c>
      <c r="M155" s="156" t="str">
        <f t="shared" si="21"/>
        <v/>
      </c>
      <c r="N155" s="157" t="str">
        <f t="shared" si="22"/>
        <v/>
      </c>
      <c r="O155" s="157" t="str">
        <f t="shared" si="25"/>
        <v/>
      </c>
      <c r="P155" s="158" t="str">
        <f t="shared" si="23"/>
        <v xml:space="preserve"> 95389 </v>
      </c>
      <c r="Q155" s="157">
        <f>IF(P155&lt;&gt;"",SUMIF(L155:L227,L155,N155:N227),"")</f>
        <v>0.06</v>
      </c>
      <c r="R155" s="157">
        <f>IF(P155&lt;&gt;"",SUMIF(L155:L227,L155,O155:O227),"")</f>
        <v>0</v>
      </c>
    </row>
    <row r="156" spans="1:18" ht="25.5" customHeight="1" x14ac:dyDescent="0.2">
      <c r="A156" s="243" t="s">
        <v>30</v>
      </c>
      <c r="B156" s="216" t="s">
        <v>110</v>
      </c>
      <c r="C156" s="243" t="str">
        <f>VLOOKUP(B156,INSUMOS!$A:$I,2,FALSE)</f>
        <v>SINAPI</v>
      </c>
      <c r="D156" s="243" t="str">
        <f>VLOOKUP(B156,INSUMOS!$A:$I,3,FALSE)</f>
        <v>OPERADOR DE BETONEIRA ESTACIONARIA/MISTURADOR</v>
      </c>
      <c r="E156" s="281" t="str">
        <f>VLOOKUP(B156,INSUMOS!$A:$I,4,FALSE)</f>
        <v>Mão de Obra</v>
      </c>
      <c r="F156" s="281"/>
      <c r="G156" s="215" t="str">
        <f>VLOOKUP(B156,INSUMOS!$A:$I,5,FALSE)</f>
        <v>H</v>
      </c>
      <c r="H156" s="218">
        <v>5.7000000000000002E-3</v>
      </c>
      <c r="I156" s="217">
        <f>VLOOKUP(B156,INSUMOS!$A:$I,8,FALSE)</f>
        <v>12</v>
      </c>
      <c r="J156" s="217">
        <f>TRUNC(H156*I156,2)</f>
        <v>0.06</v>
      </c>
      <c r="K156" s="4"/>
      <c r="L156" s="149">
        <f t="shared" si="24"/>
        <v>19</v>
      </c>
      <c r="M156" s="156">
        <f t="shared" si="21"/>
        <v>0.06</v>
      </c>
      <c r="N156" s="157">
        <f t="shared" si="22"/>
        <v>0.06</v>
      </c>
      <c r="O156" s="157" t="str">
        <f t="shared" si="25"/>
        <v/>
      </c>
      <c r="P156" s="158" t="str">
        <f t="shared" si="23"/>
        <v/>
      </c>
      <c r="Q156" s="157" t="str">
        <f>IF(P156&lt;&gt;"",SUMIF(L156:L227,L156,N156:N227),"")</f>
        <v/>
      </c>
      <c r="R156" s="157" t="str">
        <f>IF(P156&lt;&gt;"",SUMIF(L156:L227,L156,O156:O227),"")</f>
        <v/>
      </c>
    </row>
    <row r="157" spans="1:18" ht="25.5" customHeight="1" x14ac:dyDescent="0.2">
      <c r="A157" s="246"/>
      <c r="B157" s="246"/>
      <c r="C157" s="246"/>
      <c r="D157" s="246"/>
      <c r="E157" s="246"/>
      <c r="F157" s="222"/>
      <c r="G157" s="246"/>
      <c r="H157" s="222"/>
      <c r="I157" s="246"/>
      <c r="J157" s="222"/>
      <c r="K157" s="4"/>
      <c r="L157" s="149">
        <f t="shared" si="24"/>
        <v>19</v>
      </c>
      <c r="M157" s="156" t="str">
        <f t="shared" si="21"/>
        <v/>
      </c>
      <c r="N157" s="157" t="str">
        <f t="shared" si="22"/>
        <v/>
      </c>
      <c r="O157" s="157" t="str">
        <f t="shared" si="25"/>
        <v/>
      </c>
      <c r="P157" s="158" t="str">
        <f t="shared" si="23"/>
        <v/>
      </c>
      <c r="Q157" s="157" t="str">
        <f>IF(P157&lt;&gt;"",SUMIF(L157:L227,L157,N157:N227),"")</f>
        <v/>
      </c>
      <c r="R157" s="157" t="str">
        <f>IF(P157&lt;&gt;"",SUMIF(L157:L227,L157,O157:O227),"")</f>
        <v/>
      </c>
    </row>
    <row r="158" spans="1:18" ht="38.25" customHeight="1" thickBot="1" x14ac:dyDescent="0.25">
      <c r="A158" s="246"/>
      <c r="B158" s="246"/>
      <c r="C158" s="246"/>
      <c r="D158" s="246"/>
      <c r="E158" s="246"/>
      <c r="F158" s="222"/>
      <c r="G158" s="246"/>
      <c r="H158" s="282"/>
      <c r="I158" s="282"/>
      <c r="J158" s="222"/>
      <c r="K158" s="4"/>
      <c r="L158" s="149">
        <f t="shared" si="24"/>
        <v>19</v>
      </c>
      <c r="M158" s="156" t="str">
        <f t="shared" si="21"/>
        <v/>
      </c>
      <c r="N158" s="157" t="str">
        <f t="shared" si="22"/>
        <v/>
      </c>
      <c r="O158" s="157" t="str">
        <f t="shared" si="25"/>
        <v/>
      </c>
      <c r="P158" s="158" t="str">
        <f t="shared" si="23"/>
        <v/>
      </c>
      <c r="Q158" s="157" t="str">
        <f>IF(P158&lt;&gt;"",SUMIF(L158:L227,L158,N158:N227),"")</f>
        <v/>
      </c>
      <c r="R158" s="157" t="str">
        <f>IF(P158&lt;&gt;"",SUMIF(L158:L227,L158,O158:O227),"")</f>
        <v/>
      </c>
    </row>
    <row r="159" spans="1:18" ht="15" thickTop="1" x14ac:dyDescent="0.2">
      <c r="A159" s="210"/>
      <c r="B159" s="210"/>
      <c r="C159" s="210"/>
      <c r="D159" s="210"/>
      <c r="E159" s="210"/>
      <c r="F159" s="210"/>
      <c r="G159" s="210"/>
      <c r="H159" s="210"/>
      <c r="I159" s="210"/>
      <c r="J159" s="210"/>
      <c r="K159" s="4"/>
      <c r="L159" s="149">
        <f t="shared" si="24"/>
        <v>19</v>
      </c>
      <c r="M159" s="156" t="str">
        <f t="shared" si="21"/>
        <v/>
      </c>
      <c r="N159" s="157" t="str">
        <f t="shared" si="22"/>
        <v/>
      </c>
      <c r="O159" s="157" t="str">
        <f t="shared" si="25"/>
        <v/>
      </c>
      <c r="P159" s="158" t="str">
        <f t="shared" si="23"/>
        <v/>
      </c>
      <c r="Q159" s="157" t="str">
        <f>IF(P159&lt;&gt;"",SUMIF(L159:L227,L159,N159:N227),"")</f>
        <v/>
      </c>
      <c r="R159" s="157" t="str">
        <f>IF(P159&lt;&gt;"",SUMIF(L159:L227,L159,O159:O227),"")</f>
        <v/>
      </c>
    </row>
    <row r="160" spans="1:18" ht="25.5" customHeight="1" x14ac:dyDescent="0.2">
      <c r="A160" s="245"/>
      <c r="B160" s="203" t="s">
        <v>1</v>
      </c>
      <c r="C160" s="245" t="s">
        <v>2</v>
      </c>
      <c r="D160" s="245" t="s">
        <v>3</v>
      </c>
      <c r="E160" s="284" t="s">
        <v>17</v>
      </c>
      <c r="F160" s="284"/>
      <c r="G160" s="202" t="s">
        <v>4</v>
      </c>
      <c r="H160" s="203" t="s">
        <v>5</v>
      </c>
      <c r="I160" s="203" t="s">
        <v>6</v>
      </c>
      <c r="J160" s="203" t="s">
        <v>7</v>
      </c>
      <c r="K160" s="4"/>
      <c r="L160" s="149">
        <f t="shared" si="24"/>
        <v>20</v>
      </c>
      <c r="M160" s="156" t="str">
        <f t="shared" si="21"/>
        <v/>
      </c>
      <c r="N160" s="157" t="str">
        <f t="shared" si="22"/>
        <v/>
      </c>
      <c r="O160" s="157" t="str">
        <f t="shared" si="25"/>
        <v/>
      </c>
      <c r="P160" s="158" t="str">
        <f t="shared" si="23"/>
        <v/>
      </c>
      <c r="Q160" s="157" t="str">
        <f>IF(P160&lt;&gt;"",SUMIF(L160:L227,L160,N160:N227),"")</f>
        <v/>
      </c>
      <c r="R160" s="157" t="str">
        <f>IF(P160&lt;&gt;"",SUMIF(L160:L227,L160,O160:O227),"")</f>
        <v/>
      </c>
    </row>
    <row r="161" spans="1:18" ht="15" customHeight="1" x14ac:dyDescent="0.2">
      <c r="A161" s="247" t="s">
        <v>18</v>
      </c>
      <c r="B161" s="207" t="s">
        <v>111</v>
      </c>
      <c r="C161" s="247" t="s">
        <v>8</v>
      </c>
      <c r="D161" s="247" t="s">
        <v>67</v>
      </c>
      <c r="E161" s="285" t="s">
        <v>26</v>
      </c>
      <c r="F161" s="285"/>
      <c r="G161" s="206" t="s">
        <v>27</v>
      </c>
      <c r="H161" s="209">
        <v>1</v>
      </c>
      <c r="I161" s="208">
        <f>SUMIF(L:L,$L161,M:M)</f>
        <v>0.15</v>
      </c>
      <c r="J161" s="208">
        <f>TRUNC(H161*I161,2)</f>
        <v>0.15</v>
      </c>
      <c r="K161" s="4"/>
      <c r="L161" s="149">
        <f t="shared" si="24"/>
        <v>20</v>
      </c>
      <c r="M161" s="156" t="str">
        <f t="shared" si="21"/>
        <v/>
      </c>
      <c r="N161" s="157" t="str">
        <f t="shared" si="22"/>
        <v/>
      </c>
      <c r="O161" s="157" t="str">
        <f t="shared" si="25"/>
        <v/>
      </c>
      <c r="P161" s="158" t="str">
        <f t="shared" si="23"/>
        <v xml:space="preserve"> 95378 </v>
      </c>
      <c r="Q161" s="157">
        <f>IF(P161&lt;&gt;"",SUMIF(L161:L227,L161,N161:N227),"")</f>
        <v>0.15</v>
      </c>
      <c r="R161" s="157">
        <f>IF(P161&lt;&gt;"",SUMIF(L161:L227,L161,O161:O227),"")</f>
        <v>0</v>
      </c>
    </row>
    <row r="162" spans="1:18" x14ac:dyDescent="0.2">
      <c r="A162" s="243" t="s">
        <v>30</v>
      </c>
      <c r="B162" s="216" t="s">
        <v>112</v>
      </c>
      <c r="C162" s="243" t="str">
        <f>VLOOKUP(B162,INSUMOS!$A:$I,2,FALSE)</f>
        <v>SINAPI</v>
      </c>
      <c r="D162" s="243" t="str">
        <f>VLOOKUP(B162,INSUMOS!$A:$I,3,FALSE)</f>
        <v>SERVENTE DE OBRAS</v>
      </c>
      <c r="E162" s="281" t="str">
        <f>VLOOKUP(B162,INSUMOS!$A:$I,4,FALSE)</f>
        <v>Mão de Obra</v>
      </c>
      <c r="F162" s="281"/>
      <c r="G162" s="215" t="str">
        <f>VLOOKUP(B162,INSUMOS!$A:$I,5,FALSE)</f>
        <v>H</v>
      </c>
      <c r="H162" s="218">
        <v>1.46E-2</v>
      </c>
      <c r="I162" s="217">
        <f>VLOOKUP(B162,INSUMOS!$A:$I,8,FALSE)</f>
        <v>10.95</v>
      </c>
      <c r="J162" s="217">
        <f>TRUNC(H162*I162,2)</f>
        <v>0.15</v>
      </c>
      <c r="K162" s="4"/>
      <c r="L162" s="149">
        <f t="shared" si="24"/>
        <v>20</v>
      </c>
      <c r="M162" s="156">
        <f t="shared" si="21"/>
        <v>0.15</v>
      </c>
      <c r="N162" s="157">
        <f t="shared" si="22"/>
        <v>0.15</v>
      </c>
      <c r="O162" s="157" t="str">
        <f t="shared" si="25"/>
        <v/>
      </c>
      <c r="P162" s="158" t="str">
        <f t="shared" si="23"/>
        <v/>
      </c>
      <c r="Q162" s="157" t="str">
        <f>IF(P162&lt;&gt;"",SUMIF(L162:L227,L162,N162:N227),"")</f>
        <v/>
      </c>
      <c r="R162" s="157" t="str">
        <f>IF(P162&lt;&gt;"",SUMIF(L162:L227,L162,O162:O227),"")</f>
        <v/>
      </c>
    </row>
    <row r="163" spans="1:18" x14ac:dyDescent="0.2">
      <c r="A163" s="246"/>
      <c r="B163" s="246"/>
      <c r="C163" s="246"/>
      <c r="D163" s="246"/>
      <c r="E163" s="246"/>
      <c r="F163" s="222"/>
      <c r="G163" s="246"/>
      <c r="H163" s="222"/>
      <c r="I163" s="246"/>
      <c r="J163" s="222"/>
      <c r="K163" s="4"/>
      <c r="L163" s="149">
        <f t="shared" si="24"/>
        <v>20</v>
      </c>
      <c r="M163" s="156" t="str">
        <f t="shared" si="21"/>
        <v/>
      </c>
      <c r="N163" s="157" t="str">
        <f t="shared" si="22"/>
        <v/>
      </c>
      <c r="O163" s="157" t="str">
        <f t="shared" si="25"/>
        <v/>
      </c>
      <c r="P163" s="158" t="str">
        <f t="shared" si="23"/>
        <v/>
      </c>
      <c r="Q163" s="157" t="str">
        <f>IF(P163&lt;&gt;"",SUMIF(L163:L227,L163,N163:N227),"")</f>
        <v/>
      </c>
      <c r="R163" s="157" t="str">
        <f>IF(P163&lt;&gt;"",SUMIF(L163:L227,L163,O163:O227),"")</f>
        <v/>
      </c>
    </row>
    <row r="164" spans="1:18" ht="38.25" customHeight="1" thickBot="1" x14ac:dyDescent="0.25">
      <c r="A164" s="246"/>
      <c r="B164" s="246"/>
      <c r="C164" s="246"/>
      <c r="D164" s="246"/>
      <c r="E164" s="246"/>
      <c r="F164" s="222"/>
      <c r="G164" s="246"/>
      <c r="H164" s="282"/>
      <c r="I164" s="282"/>
      <c r="J164" s="222"/>
      <c r="K164" s="4"/>
      <c r="L164" s="149">
        <f t="shared" si="24"/>
        <v>20</v>
      </c>
      <c r="M164" s="156" t="str">
        <f t="shared" si="21"/>
        <v/>
      </c>
      <c r="N164" s="157" t="str">
        <f t="shared" si="22"/>
        <v/>
      </c>
      <c r="O164" s="157" t="str">
        <f t="shared" si="25"/>
        <v/>
      </c>
      <c r="P164" s="158" t="str">
        <f t="shared" si="23"/>
        <v/>
      </c>
      <c r="Q164" s="157" t="str">
        <f>IF(P164&lt;&gt;"",SUMIF(L164:L227,L164,N164:N227),"")</f>
        <v/>
      </c>
      <c r="R164" s="157" t="str">
        <f>IF(P164&lt;&gt;"",SUMIF(L164:L227,L164,O164:O227),"")</f>
        <v/>
      </c>
    </row>
    <row r="165" spans="1:18" ht="15" customHeight="1" thickTop="1" x14ac:dyDescent="0.2">
      <c r="A165" s="210"/>
      <c r="B165" s="210"/>
      <c r="C165" s="210"/>
      <c r="D165" s="210"/>
      <c r="E165" s="210"/>
      <c r="F165" s="210"/>
      <c r="G165" s="210"/>
      <c r="H165" s="210"/>
      <c r="I165" s="210"/>
      <c r="J165" s="210"/>
      <c r="K165" s="4"/>
      <c r="L165" s="149">
        <f t="shared" si="24"/>
        <v>20</v>
      </c>
      <c r="M165" s="156" t="str">
        <f t="shared" si="21"/>
        <v/>
      </c>
      <c r="N165" s="157" t="str">
        <f t="shared" si="22"/>
        <v/>
      </c>
      <c r="O165" s="157" t="str">
        <f t="shared" si="25"/>
        <v/>
      </c>
      <c r="P165" s="158" t="str">
        <f t="shared" si="23"/>
        <v/>
      </c>
      <c r="Q165" s="157" t="str">
        <f>IF(P165&lt;&gt;"",SUMIF(L165:L227,L165,N165:N227),"")</f>
        <v/>
      </c>
      <c r="R165" s="157" t="str">
        <f>IF(P165&lt;&gt;"",SUMIF(L165:L227,L165,O165:O227),"")</f>
        <v/>
      </c>
    </row>
    <row r="166" spans="1:18" ht="15" x14ac:dyDescent="0.2">
      <c r="A166" s="245"/>
      <c r="B166" s="203" t="s">
        <v>1</v>
      </c>
      <c r="C166" s="245" t="s">
        <v>2</v>
      </c>
      <c r="D166" s="245" t="s">
        <v>3</v>
      </c>
      <c r="E166" s="284" t="s">
        <v>17</v>
      </c>
      <c r="F166" s="284"/>
      <c r="G166" s="202" t="s">
        <v>4</v>
      </c>
      <c r="H166" s="203" t="s">
        <v>5</v>
      </c>
      <c r="I166" s="203" t="s">
        <v>6</v>
      </c>
      <c r="J166" s="203" t="s">
        <v>7</v>
      </c>
      <c r="K166" s="4"/>
      <c r="L166" s="149">
        <f t="shared" si="24"/>
        <v>21</v>
      </c>
      <c r="M166" s="156" t="str">
        <f t="shared" si="21"/>
        <v/>
      </c>
      <c r="N166" s="157" t="str">
        <f t="shared" si="22"/>
        <v/>
      </c>
      <c r="O166" s="157" t="str">
        <f t="shared" si="25"/>
        <v/>
      </c>
      <c r="P166" s="158" t="str">
        <f t="shared" si="23"/>
        <v/>
      </c>
      <c r="Q166" s="157" t="str">
        <f>IF(P166&lt;&gt;"",SUMIF(L166:L227,L166,N166:N227),"")</f>
        <v/>
      </c>
      <c r="R166" s="157" t="str">
        <f>IF(P166&lt;&gt;"",SUMIF(L166:L227,L166,O166:O227),"")</f>
        <v/>
      </c>
    </row>
    <row r="167" spans="1:18" ht="15" customHeight="1" x14ac:dyDescent="0.2">
      <c r="A167" s="247" t="s">
        <v>18</v>
      </c>
      <c r="B167" s="207" t="s">
        <v>409</v>
      </c>
      <c r="C167" s="247" t="s">
        <v>8</v>
      </c>
      <c r="D167" s="247" t="s">
        <v>410</v>
      </c>
      <c r="E167" s="285" t="s">
        <v>26</v>
      </c>
      <c r="F167" s="285"/>
      <c r="G167" s="206" t="s">
        <v>27</v>
      </c>
      <c r="H167" s="209">
        <v>1</v>
      </c>
      <c r="I167" s="208">
        <f>SUMIF(L:L,$L167,M:M)</f>
        <v>17.170000000000002</v>
      </c>
      <c r="J167" s="208">
        <f t="shared" ref="J167:J173" si="26">TRUNC(H167*I167,2)</f>
        <v>17.170000000000002</v>
      </c>
      <c r="K167" s="4"/>
      <c r="L167" s="149">
        <f t="shared" si="24"/>
        <v>21</v>
      </c>
      <c r="M167" s="156" t="str">
        <f t="shared" si="21"/>
        <v/>
      </c>
      <c r="N167" s="157" t="str">
        <f t="shared" si="22"/>
        <v/>
      </c>
      <c r="O167" s="157" t="str">
        <f t="shared" si="25"/>
        <v/>
      </c>
      <c r="P167" s="158" t="str">
        <f t="shared" si="23"/>
        <v xml:space="preserve"> 90775 </v>
      </c>
      <c r="Q167" s="157">
        <f>IF(P167&lt;&gt;"",SUMIF(L167:L227,L167,N167:N227),"")</f>
        <v>16.11</v>
      </c>
      <c r="R167" s="157">
        <f>IF(P167&lt;&gt;"",SUMIF(L167:L227,L167,O167:O227),"")</f>
        <v>1.06</v>
      </c>
    </row>
    <row r="168" spans="1:18" ht="38.25" customHeight="1" x14ac:dyDescent="0.2">
      <c r="A168" s="244" t="s">
        <v>20</v>
      </c>
      <c r="B168" s="212" t="s">
        <v>407</v>
      </c>
      <c r="C168" s="244" t="s">
        <v>8</v>
      </c>
      <c r="D168" s="244" t="s">
        <v>408</v>
      </c>
      <c r="E168" s="283" t="s">
        <v>26</v>
      </c>
      <c r="F168" s="283"/>
      <c r="G168" s="211" t="s">
        <v>27</v>
      </c>
      <c r="H168" s="214">
        <v>1</v>
      </c>
      <c r="I168" s="213">
        <f>SUMIFS(J:J,A:A,"Composição",B:B,$B168)</f>
        <v>0.05</v>
      </c>
      <c r="J168" s="213">
        <f t="shared" si="26"/>
        <v>0.05</v>
      </c>
      <c r="K168" s="4"/>
      <c r="L168" s="149">
        <f t="shared" si="24"/>
        <v>21</v>
      </c>
      <c r="M168" s="156">
        <f t="shared" si="21"/>
        <v>0.05</v>
      </c>
      <c r="N168" s="157" t="str">
        <f t="shared" si="22"/>
        <v/>
      </c>
      <c r="O168" s="157">
        <f t="shared" si="25"/>
        <v>0.05</v>
      </c>
      <c r="P168" s="158" t="str">
        <f t="shared" si="23"/>
        <v/>
      </c>
      <c r="Q168" s="157" t="str">
        <f>IF(P168&lt;&gt;"",SUMIF(L168:L227,L168,N168:N227),"")</f>
        <v/>
      </c>
      <c r="R168" s="157" t="str">
        <f>IF(P168&lt;&gt;"",SUMIF(L168:L227,L168,O168:O227),"")</f>
        <v/>
      </c>
    </row>
    <row r="169" spans="1:18" ht="38.25" customHeight="1" x14ac:dyDescent="0.2">
      <c r="A169" s="243" t="s">
        <v>30</v>
      </c>
      <c r="B169" s="216" t="s">
        <v>345</v>
      </c>
      <c r="C169" s="243" t="str">
        <f>VLOOKUP(B169,INSUMOS!$A:$I,2,FALSE)</f>
        <v>SINAPI</v>
      </c>
      <c r="D169" s="243" t="str">
        <f>VLOOKUP(B169,INSUMOS!$A:$I,3,FALSE)</f>
        <v>DESENHISTA PROJETISTA</v>
      </c>
      <c r="E169" s="281" t="str">
        <f>VLOOKUP(B169,INSUMOS!$A:$I,4,FALSE)</f>
        <v>Mão de Obra</v>
      </c>
      <c r="F169" s="281"/>
      <c r="G169" s="215" t="str">
        <f>VLOOKUP(B169,INSUMOS!$A:$I,5,FALSE)</f>
        <v>H</v>
      </c>
      <c r="H169" s="218">
        <v>1</v>
      </c>
      <c r="I169" s="217">
        <f>VLOOKUP(B169,INSUMOS!$A:$I,8,FALSE)</f>
        <v>16.11</v>
      </c>
      <c r="J169" s="217">
        <f t="shared" si="26"/>
        <v>16.11</v>
      </c>
      <c r="K169" s="4"/>
      <c r="L169" s="149">
        <f t="shared" si="24"/>
        <v>21</v>
      </c>
      <c r="M169" s="156">
        <f t="shared" si="21"/>
        <v>16.11</v>
      </c>
      <c r="N169" s="157">
        <f t="shared" si="22"/>
        <v>16.11</v>
      </c>
      <c r="O169" s="157" t="str">
        <f t="shared" si="25"/>
        <v/>
      </c>
      <c r="P169" s="158" t="str">
        <f t="shared" si="23"/>
        <v/>
      </c>
      <c r="Q169" s="157" t="str">
        <f>IF(P169&lt;&gt;"",SUMIF(L169:L227,L169,N169:N227),"")</f>
        <v/>
      </c>
      <c r="R169" s="157" t="str">
        <f>IF(P169&lt;&gt;"",SUMIF(L169:L227,L169,O169:O227),"")</f>
        <v/>
      </c>
    </row>
    <row r="170" spans="1:18" ht="38.25" customHeight="1" x14ac:dyDescent="0.2">
      <c r="A170" s="243" t="s">
        <v>30</v>
      </c>
      <c r="B170" s="216" t="s">
        <v>240</v>
      </c>
      <c r="C170" s="243" t="str">
        <f>VLOOKUP(B170,INSUMOS!$A:$I,2,FALSE)</f>
        <v>SINAPI</v>
      </c>
      <c r="D170" s="243" t="str">
        <f>VLOOKUP(B170,INSUMOS!$A:$I,3,FALSE)</f>
        <v>EPI - FAMILIA TOPOGRAFO - HORISTA (ENCARGOS COMPLEMENTARES - COLETADO CAIXA)</v>
      </c>
      <c r="E170" s="281" t="str">
        <f>VLOOKUP(B170,INSUMOS!$A:$I,4,FALSE)</f>
        <v>Equipamento</v>
      </c>
      <c r="F170" s="281"/>
      <c r="G170" s="215" t="str">
        <f>VLOOKUP(B170,INSUMOS!$A:$I,5,FALSE)</f>
        <v>H</v>
      </c>
      <c r="H170" s="218">
        <v>1</v>
      </c>
      <c r="I170" s="217">
        <f>VLOOKUP(B170,INSUMOS!$A:$I,8,FALSE)</f>
        <v>0.54</v>
      </c>
      <c r="J170" s="217">
        <f t="shared" si="26"/>
        <v>0.54</v>
      </c>
      <c r="K170" s="4"/>
      <c r="L170" s="149">
        <f t="shared" si="24"/>
        <v>21</v>
      </c>
      <c r="M170" s="156">
        <f t="shared" si="21"/>
        <v>0.54</v>
      </c>
      <c r="N170" s="157" t="str">
        <f t="shared" si="22"/>
        <v/>
      </c>
      <c r="O170" s="157">
        <f t="shared" si="25"/>
        <v>0.54</v>
      </c>
      <c r="P170" s="158" t="str">
        <f t="shared" si="23"/>
        <v/>
      </c>
      <c r="Q170" s="157" t="str">
        <f>IF(P170&lt;&gt;"",SUMIF(L170:L227,L170,N170:N227),"")</f>
        <v/>
      </c>
      <c r="R170" s="157" t="str">
        <f>IF(P170&lt;&gt;"",SUMIF(L170:L227,L170,O170:O227),"")</f>
        <v/>
      </c>
    </row>
    <row r="171" spans="1:18" ht="38.25" customHeight="1" x14ac:dyDescent="0.2">
      <c r="A171" s="243" t="s">
        <v>30</v>
      </c>
      <c r="B171" s="216" t="s">
        <v>89</v>
      </c>
      <c r="C171" s="243" t="str">
        <f>VLOOKUP(B171,INSUMOS!$A:$I,2,FALSE)</f>
        <v>SINAPI</v>
      </c>
      <c r="D171" s="243" t="str">
        <f>VLOOKUP(B171,INSUMOS!$A:$I,3,FALSE)</f>
        <v>EXAMES - HORISTA (COLETADO CAIXA)</v>
      </c>
      <c r="E171" s="281" t="str">
        <f>VLOOKUP(B171,INSUMOS!$A:$I,4,FALSE)</f>
        <v>Outros</v>
      </c>
      <c r="F171" s="281"/>
      <c r="G171" s="215" t="str">
        <f>VLOOKUP(B171,INSUMOS!$A:$I,5,FALSE)</f>
        <v>H</v>
      </c>
      <c r="H171" s="218">
        <v>1</v>
      </c>
      <c r="I171" s="217">
        <f>VLOOKUP(B171,INSUMOS!$A:$I,8,FALSE)</f>
        <v>0.35</v>
      </c>
      <c r="J171" s="217">
        <f t="shared" si="26"/>
        <v>0.35</v>
      </c>
      <c r="K171" s="4"/>
      <c r="L171" s="149">
        <f t="shared" si="24"/>
        <v>21</v>
      </c>
      <c r="M171" s="156">
        <f t="shared" si="21"/>
        <v>0.35</v>
      </c>
      <c r="N171" s="157" t="str">
        <f t="shared" si="22"/>
        <v/>
      </c>
      <c r="O171" s="157">
        <f t="shared" si="25"/>
        <v>0.35</v>
      </c>
      <c r="P171" s="158" t="str">
        <f t="shared" si="23"/>
        <v/>
      </c>
      <c r="Q171" s="157" t="str">
        <f>IF(P171&lt;&gt;"",SUMIF(L171:L227,L171,N171:N227),"")</f>
        <v/>
      </c>
      <c r="R171" s="157" t="str">
        <f>IF(P171&lt;&gt;"",SUMIF(L171:L227,L171,O171:O227),"")</f>
        <v/>
      </c>
    </row>
    <row r="172" spans="1:18" ht="25.5" x14ac:dyDescent="0.2">
      <c r="A172" s="243" t="s">
        <v>30</v>
      </c>
      <c r="B172" s="216" t="s">
        <v>250</v>
      </c>
      <c r="C172" s="243" t="str">
        <f>VLOOKUP(B172,INSUMOS!$A:$I,2,FALSE)</f>
        <v>SINAPI</v>
      </c>
      <c r="D172" s="243" t="str">
        <f>VLOOKUP(B172,INSUMOS!$A:$I,3,FALSE)</f>
        <v>FERRAMENTAS - FAMILIA TOPOGRAFO - HORISTA (ENCARGOS COMPLEMENTARES - COLETADO CAIXA)</v>
      </c>
      <c r="E172" s="281" t="str">
        <f>VLOOKUP(B172,INSUMOS!$A:$I,4,FALSE)</f>
        <v>Equipamento</v>
      </c>
      <c r="F172" s="281"/>
      <c r="G172" s="215" t="str">
        <f>VLOOKUP(B172,INSUMOS!$A:$I,5,FALSE)</f>
        <v>H</v>
      </c>
      <c r="H172" s="218">
        <v>1</v>
      </c>
      <c r="I172" s="217">
        <f>VLOOKUP(B172,INSUMOS!$A:$I,8,FALSE)</f>
        <v>0.05</v>
      </c>
      <c r="J172" s="217">
        <f t="shared" si="26"/>
        <v>0.05</v>
      </c>
      <c r="K172" s="4"/>
      <c r="L172" s="149">
        <f t="shared" si="24"/>
        <v>21</v>
      </c>
      <c r="M172" s="156">
        <f t="shared" si="21"/>
        <v>0.05</v>
      </c>
      <c r="N172" s="157" t="str">
        <f t="shared" si="22"/>
        <v/>
      </c>
      <c r="O172" s="157">
        <f t="shared" si="25"/>
        <v>0.05</v>
      </c>
      <c r="P172" s="158" t="str">
        <f t="shared" si="23"/>
        <v/>
      </c>
      <c r="Q172" s="157" t="str">
        <f>IF(P172&lt;&gt;"",SUMIF(L172:L227,L172,N172:N227),"")</f>
        <v/>
      </c>
      <c r="R172" s="157" t="str">
        <f>IF(P172&lt;&gt;"",SUMIF(L172:L227,L172,O172:O227),"")</f>
        <v/>
      </c>
    </row>
    <row r="173" spans="1:18" ht="15" customHeight="1" x14ac:dyDescent="0.2">
      <c r="A173" s="243" t="s">
        <v>30</v>
      </c>
      <c r="B173" s="216" t="s">
        <v>91</v>
      </c>
      <c r="C173" s="243" t="str">
        <f>VLOOKUP(B173,INSUMOS!$A:$I,2,FALSE)</f>
        <v>SINAPI</v>
      </c>
      <c r="D173" s="243" t="str">
        <f>VLOOKUP(B173,INSUMOS!$A:$I,3,FALSE)</f>
        <v>SEGURO - HORISTA (COLETADO CAIXA)</v>
      </c>
      <c r="E173" s="281" t="str">
        <f>VLOOKUP(B173,INSUMOS!$A:$I,4,FALSE)</f>
        <v>Taxas</v>
      </c>
      <c r="F173" s="281"/>
      <c r="G173" s="215" t="str">
        <f>VLOOKUP(B173,INSUMOS!$A:$I,5,FALSE)</f>
        <v>H</v>
      </c>
      <c r="H173" s="218">
        <v>1</v>
      </c>
      <c r="I173" s="217">
        <f>VLOOKUP(B173,INSUMOS!$A:$I,8,FALSE)</f>
        <v>7.0000000000000007E-2</v>
      </c>
      <c r="J173" s="217">
        <f t="shared" si="26"/>
        <v>7.0000000000000007E-2</v>
      </c>
      <c r="K173" s="4"/>
      <c r="L173" s="149">
        <f t="shared" si="24"/>
        <v>21</v>
      </c>
      <c r="M173" s="156">
        <f t="shared" si="21"/>
        <v>7.0000000000000007E-2</v>
      </c>
      <c r="N173" s="157" t="str">
        <f t="shared" si="22"/>
        <v/>
      </c>
      <c r="O173" s="157">
        <f t="shared" si="25"/>
        <v>7.0000000000000007E-2</v>
      </c>
      <c r="P173" s="158" t="str">
        <f t="shared" si="23"/>
        <v/>
      </c>
      <c r="Q173" s="157" t="str">
        <f>IF(P173&lt;&gt;"",SUMIF(L173:L227,L173,N173:N227),"")</f>
        <v/>
      </c>
      <c r="R173" s="157" t="str">
        <f>IF(P173&lt;&gt;"",SUMIF(L173:L227,L173,O173:O227),"")</f>
        <v/>
      </c>
    </row>
    <row r="174" spans="1:18" x14ac:dyDescent="0.2">
      <c r="A174" s="246"/>
      <c r="B174" s="246"/>
      <c r="C174" s="246"/>
      <c r="D174" s="246"/>
      <c r="E174" s="246"/>
      <c r="F174" s="222"/>
      <c r="G174" s="246"/>
      <c r="H174" s="222"/>
      <c r="I174" s="246"/>
      <c r="J174" s="222"/>
      <c r="K174" s="4"/>
      <c r="L174" s="149">
        <f t="shared" si="24"/>
        <v>21</v>
      </c>
      <c r="M174" s="156" t="str">
        <f t="shared" si="21"/>
        <v/>
      </c>
      <c r="N174" s="157" t="str">
        <f t="shared" si="22"/>
        <v/>
      </c>
      <c r="O174" s="157" t="str">
        <f t="shared" si="25"/>
        <v/>
      </c>
      <c r="P174" s="158" t="str">
        <f t="shared" si="23"/>
        <v/>
      </c>
      <c r="Q174" s="157" t="str">
        <f>IF(P174&lt;&gt;"",SUMIF(L174:L227,L174,N174:N227),"")</f>
        <v/>
      </c>
      <c r="R174" s="157" t="str">
        <f>IF(P174&lt;&gt;"",SUMIF(L174:L227,L174,O174:O227),"")</f>
        <v/>
      </c>
    </row>
    <row r="175" spans="1:18" ht="15" customHeight="1" thickBot="1" x14ac:dyDescent="0.25">
      <c r="A175" s="246"/>
      <c r="B175" s="246"/>
      <c r="C175" s="246"/>
      <c r="D175" s="246"/>
      <c r="E175" s="246"/>
      <c r="F175" s="222"/>
      <c r="G175" s="246"/>
      <c r="H175" s="282"/>
      <c r="I175" s="282"/>
      <c r="J175" s="222"/>
      <c r="K175" s="4"/>
      <c r="L175" s="149">
        <f t="shared" si="24"/>
        <v>21</v>
      </c>
      <c r="M175" s="156" t="str">
        <f t="shared" si="21"/>
        <v/>
      </c>
      <c r="N175" s="157" t="str">
        <f t="shared" si="22"/>
        <v/>
      </c>
      <c r="O175" s="157" t="str">
        <f t="shared" si="25"/>
        <v/>
      </c>
      <c r="P175" s="158" t="str">
        <f t="shared" si="23"/>
        <v/>
      </c>
      <c r="Q175" s="157" t="str">
        <f>IF(P175&lt;&gt;"",SUMIF(L175:L227,L175,N175:N227),"")</f>
        <v/>
      </c>
      <c r="R175" s="157" t="str">
        <f>IF(P175&lt;&gt;"",SUMIF(L175:L227,L175,O175:O227),"")</f>
        <v/>
      </c>
    </row>
    <row r="176" spans="1:18" ht="14.25" customHeight="1" thickTop="1" x14ac:dyDescent="0.2">
      <c r="A176" s="210"/>
      <c r="B176" s="210"/>
      <c r="C176" s="210"/>
      <c r="D176" s="210"/>
      <c r="E176" s="210"/>
      <c r="F176" s="210"/>
      <c r="G176" s="210"/>
      <c r="H176" s="210"/>
      <c r="I176" s="210"/>
      <c r="J176" s="210"/>
      <c r="K176" s="4"/>
      <c r="L176" s="149">
        <f t="shared" si="24"/>
        <v>21</v>
      </c>
      <c r="M176" s="156" t="str">
        <f t="shared" si="21"/>
        <v/>
      </c>
      <c r="N176" s="157" t="str">
        <f t="shared" si="22"/>
        <v/>
      </c>
      <c r="O176" s="157" t="str">
        <f t="shared" si="25"/>
        <v/>
      </c>
      <c r="P176" s="158" t="str">
        <f t="shared" si="23"/>
        <v/>
      </c>
      <c r="Q176" s="157" t="str">
        <f>IF(P176&lt;&gt;"",SUMIF(L176:L227,L176,N176:N227),"")</f>
        <v/>
      </c>
      <c r="R176" s="157" t="str">
        <f>IF(P176&lt;&gt;"",SUMIF(L176:L227,L176,O176:O227),"")</f>
        <v/>
      </c>
    </row>
    <row r="177" spans="1:18" ht="15" customHeight="1" x14ac:dyDescent="0.2">
      <c r="A177" s="245"/>
      <c r="B177" s="203" t="s">
        <v>1</v>
      </c>
      <c r="C177" s="245" t="s">
        <v>2</v>
      </c>
      <c r="D177" s="245" t="s">
        <v>3</v>
      </c>
      <c r="E177" s="284" t="s">
        <v>17</v>
      </c>
      <c r="F177" s="284"/>
      <c r="G177" s="202" t="s">
        <v>4</v>
      </c>
      <c r="H177" s="203" t="s">
        <v>5</v>
      </c>
      <c r="I177" s="203" t="s">
        <v>6</v>
      </c>
      <c r="J177" s="203" t="s">
        <v>7</v>
      </c>
      <c r="K177" s="4"/>
      <c r="L177" s="149">
        <f t="shared" si="24"/>
        <v>22</v>
      </c>
      <c r="M177" s="156" t="str">
        <f t="shared" si="21"/>
        <v/>
      </c>
      <c r="N177" s="157" t="str">
        <f t="shared" si="22"/>
        <v/>
      </c>
      <c r="O177" s="157" t="str">
        <f t="shared" si="25"/>
        <v/>
      </c>
      <c r="P177" s="158" t="str">
        <f t="shared" si="23"/>
        <v/>
      </c>
      <c r="Q177" s="157" t="str">
        <f>IF(P177&lt;&gt;"",SUMIF(L177:L227,L177,N177:N227),"")</f>
        <v/>
      </c>
      <c r="R177" s="157" t="str">
        <f>IF(P177&lt;&gt;"",SUMIF(L177:L227,L177,O177:O227),"")</f>
        <v/>
      </c>
    </row>
    <row r="178" spans="1:18" ht="14.25" customHeight="1" x14ac:dyDescent="0.2">
      <c r="A178" s="247" t="s">
        <v>18</v>
      </c>
      <c r="B178" s="207" t="s">
        <v>269</v>
      </c>
      <c r="C178" s="247" t="s">
        <v>8</v>
      </c>
      <c r="D178" s="247" t="s">
        <v>270</v>
      </c>
      <c r="E178" s="285" t="s">
        <v>26</v>
      </c>
      <c r="F178" s="285"/>
      <c r="G178" s="206" t="s">
        <v>27</v>
      </c>
      <c r="H178" s="209">
        <v>1</v>
      </c>
      <c r="I178" s="208">
        <f>SUMIF(L:L,$L178,M:M)</f>
        <v>20.510000000000005</v>
      </c>
      <c r="J178" s="208">
        <f t="shared" ref="J178:J186" si="27">TRUNC(H178*I178,2)</f>
        <v>20.51</v>
      </c>
      <c r="K178" s="4"/>
      <c r="L178" s="149">
        <f t="shared" si="24"/>
        <v>22</v>
      </c>
      <c r="M178" s="156" t="str">
        <f t="shared" si="21"/>
        <v/>
      </c>
      <c r="N178" s="157" t="str">
        <f t="shared" si="22"/>
        <v/>
      </c>
      <c r="O178" s="157" t="str">
        <f t="shared" si="25"/>
        <v/>
      </c>
      <c r="P178" s="158" t="str">
        <f t="shared" si="23"/>
        <v xml:space="preserve"> 88264 </v>
      </c>
      <c r="Q178" s="157">
        <f>IF(P178&lt;&gt;"",SUMIF(L178:L227,L178,N178:N227),"")</f>
        <v>15.13</v>
      </c>
      <c r="R178" s="157">
        <f>IF(P178&lt;&gt;"",SUMIF(L178:L227,L178,O178:O227),"")</f>
        <v>5.3800000000000008</v>
      </c>
    </row>
    <row r="179" spans="1:18" ht="15" customHeight="1" x14ac:dyDescent="0.2">
      <c r="A179" s="244" t="s">
        <v>20</v>
      </c>
      <c r="B179" s="212" t="s">
        <v>271</v>
      </c>
      <c r="C179" s="244" t="s">
        <v>8</v>
      </c>
      <c r="D179" s="244" t="s">
        <v>272</v>
      </c>
      <c r="E179" s="283" t="s">
        <v>26</v>
      </c>
      <c r="F179" s="283"/>
      <c r="G179" s="211" t="s">
        <v>27</v>
      </c>
      <c r="H179" s="214">
        <v>1</v>
      </c>
      <c r="I179" s="213">
        <f>SUMIFS(J:J,A:A,"Composição",B:B,$B179)</f>
        <v>0.38</v>
      </c>
      <c r="J179" s="213">
        <f t="shared" si="27"/>
        <v>0.38</v>
      </c>
      <c r="K179" s="4"/>
      <c r="L179" s="149">
        <f t="shared" si="24"/>
        <v>22</v>
      </c>
      <c r="M179" s="156">
        <f t="shared" si="21"/>
        <v>0.38</v>
      </c>
      <c r="N179" s="157" t="str">
        <f t="shared" si="22"/>
        <v/>
      </c>
      <c r="O179" s="157">
        <f t="shared" si="25"/>
        <v>0.38</v>
      </c>
      <c r="P179" s="158" t="str">
        <f t="shared" si="23"/>
        <v/>
      </c>
      <c r="Q179" s="157" t="str">
        <f>IF(P179&lt;&gt;"",SUMIF(L179:L227,L179,N179:N227),"")</f>
        <v/>
      </c>
      <c r="R179" s="157" t="str">
        <f>IF(P179&lt;&gt;"",SUMIF(L179:L227,L179,O179:O227),"")</f>
        <v/>
      </c>
    </row>
    <row r="180" spans="1:18" x14ac:dyDescent="0.2">
      <c r="A180" s="243" t="s">
        <v>30</v>
      </c>
      <c r="B180" s="216" t="s">
        <v>87</v>
      </c>
      <c r="C180" s="243" t="str">
        <f>VLOOKUP(B180,INSUMOS!$A:$I,2,FALSE)</f>
        <v>SINAPI</v>
      </c>
      <c r="D180" s="243" t="str">
        <f>VLOOKUP(B180,INSUMOS!$A:$I,3,FALSE)</f>
        <v>ALIMENTACAO - HORISTA (COLETADO CAIXA)</v>
      </c>
      <c r="E180" s="281" t="str">
        <f>VLOOKUP(B180,INSUMOS!$A:$I,4,FALSE)</f>
        <v>Outros</v>
      </c>
      <c r="F180" s="281"/>
      <c r="G180" s="215" t="str">
        <f>VLOOKUP(B180,INSUMOS!$A:$I,5,FALSE)</f>
        <v>H</v>
      </c>
      <c r="H180" s="218">
        <v>1</v>
      </c>
      <c r="I180" s="217">
        <f>VLOOKUP(B180,INSUMOS!$A:$I,8,FALSE)</f>
        <v>2.1800000000000002</v>
      </c>
      <c r="J180" s="217">
        <f t="shared" si="27"/>
        <v>2.1800000000000002</v>
      </c>
      <c r="K180" s="4"/>
      <c r="L180" s="149">
        <f t="shared" si="24"/>
        <v>22</v>
      </c>
      <c r="M180" s="156">
        <f t="shared" si="21"/>
        <v>2.1800000000000002</v>
      </c>
      <c r="N180" s="157" t="str">
        <f t="shared" si="22"/>
        <v/>
      </c>
      <c r="O180" s="157">
        <f t="shared" si="25"/>
        <v>2.1800000000000002</v>
      </c>
      <c r="P180" s="158" t="str">
        <f t="shared" si="23"/>
        <v/>
      </c>
      <c r="Q180" s="157" t="str">
        <f>IF(P180&lt;&gt;"",SUMIF(L180:L227,L180,N180:N227),"")</f>
        <v/>
      </c>
      <c r="R180" s="157" t="str">
        <f>IF(P180&lt;&gt;"",SUMIF(L180:L227,L180,O180:O227),"")</f>
        <v/>
      </c>
    </row>
    <row r="181" spans="1:18" x14ac:dyDescent="0.2">
      <c r="A181" s="243" t="s">
        <v>30</v>
      </c>
      <c r="B181" s="216" t="s">
        <v>191</v>
      </c>
      <c r="C181" s="243" t="str">
        <f>VLOOKUP(B181,INSUMOS!$A:$I,2,FALSE)</f>
        <v>SINAPI</v>
      </c>
      <c r="D181" s="243" t="str">
        <f>VLOOKUP(B181,INSUMOS!$A:$I,3,FALSE)</f>
        <v>ELETRICISTA</v>
      </c>
      <c r="E181" s="281" t="str">
        <f>VLOOKUP(B181,INSUMOS!$A:$I,4,FALSE)</f>
        <v>Mão de Obra</v>
      </c>
      <c r="F181" s="281"/>
      <c r="G181" s="215" t="str">
        <f>VLOOKUP(B181,INSUMOS!$A:$I,5,FALSE)</f>
        <v>H</v>
      </c>
      <c r="H181" s="218">
        <v>1</v>
      </c>
      <c r="I181" s="217">
        <f>VLOOKUP(B181,INSUMOS!$A:$I,8,FALSE)</f>
        <v>15.13</v>
      </c>
      <c r="J181" s="217">
        <f t="shared" si="27"/>
        <v>15.13</v>
      </c>
      <c r="K181" s="4"/>
      <c r="L181" s="149">
        <f t="shared" si="24"/>
        <v>22</v>
      </c>
      <c r="M181" s="156">
        <f t="shared" si="21"/>
        <v>15.13</v>
      </c>
      <c r="N181" s="157">
        <f t="shared" si="22"/>
        <v>15.13</v>
      </c>
      <c r="O181" s="157" t="str">
        <f t="shared" si="25"/>
        <v/>
      </c>
      <c r="P181" s="158" t="str">
        <f t="shared" si="23"/>
        <v/>
      </c>
      <c r="Q181" s="157" t="str">
        <f>IF(P181&lt;&gt;"",SUMIF(L181:L227,L181,N181:N227),"")</f>
        <v/>
      </c>
      <c r="R181" s="157" t="str">
        <f>IF(P181&lt;&gt;"",SUMIF(L181:L227,L181,O181:O227),"")</f>
        <v/>
      </c>
    </row>
    <row r="182" spans="1:18" ht="38.25" customHeight="1" x14ac:dyDescent="0.2">
      <c r="A182" s="243" t="s">
        <v>30</v>
      </c>
      <c r="B182" s="216" t="s">
        <v>201</v>
      </c>
      <c r="C182" s="243" t="str">
        <f>VLOOKUP(B182,INSUMOS!$A:$I,2,FALSE)</f>
        <v>SINAPI</v>
      </c>
      <c r="D182" s="243" t="str">
        <f>VLOOKUP(B182,INSUMOS!$A:$I,3,FALSE)</f>
        <v>EPI - FAMILIA ELETRICISTA - HORISTA (ENCARGOS COMPLEMENTARES - COLETADO CAIXA)</v>
      </c>
      <c r="E182" s="281" t="str">
        <f>VLOOKUP(B182,INSUMOS!$A:$I,4,FALSE)</f>
        <v>Equipamento</v>
      </c>
      <c r="F182" s="281"/>
      <c r="G182" s="215" t="str">
        <f>VLOOKUP(B182,INSUMOS!$A:$I,5,FALSE)</f>
        <v>H</v>
      </c>
      <c r="H182" s="218">
        <v>1</v>
      </c>
      <c r="I182" s="217">
        <f>VLOOKUP(B182,INSUMOS!$A:$I,8,FALSE)</f>
        <v>0.93</v>
      </c>
      <c r="J182" s="217">
        <f t="shared" si="27"/>
        <v>0.93</v>
      </c>
      <c r="K182" s="4"/>
      <c r="L182" s="149">
        <f t="shared" si="24"/>
        <v>22</v>
      </c>
      <c r="M182" s="156">
        <f t="shared" si="21"/>
        <v>0.93</v>
      </c>
      <c r="N182" s="157" t="str">
        <f t="shared" si="22"/>
        <v/>
      </c>
      <c r="O182" s="157">
        <f t="shared" si="25"/>
        <v>0.93</v>
      </c>
      <c r="P182" s="158" t="str">
        <f t="shared" si="23"/>
        <v/>
      </c>
      <c r="Q182" s="157" t="str">
        <f>IF(P182&lt;&gt;"",SUMIF(L182:L227,L182,N182:N227),"")</f>
        <v/>
      </c>
      <c r="R182" s="157" t="str">
        <f>IF(P182&lt;&gt;"",SUMIF(L182:L227,L182,O182:O227),"")</f>
        <v/>
      </c>
    </row>
    <row r="183" spans="1:18" ht="38.25" customHeight="1" x14ac:dyDescent="0.2">
      <c r="A183" s="243" t="s">
        <v>30</v>
      </c>
      <c r="B183" s="216" t="s">
        <v>89</v>
      </c>
      <c r="C183" s="243" t="str">
        <f>VLOOKUP(B183,INSUMOS!$A:$I,2,FALSE)</f>
        <v>SINAPI</v>
      </c>
      <c r="D183" s="243" t="str">
        <f>VLOOKUP(B183,INSUMOS!$A:$I,3,FALSE)</f>
        <v>EXAMES - HORISTA (COLETADO CAIXA)</v>
      </c>
      <c r="E183" s="281" t="str">
        <f>VLOOKUP(B183,INSUMOS!$A:$I,4,FALSE)</f>
        <v>Outros</v>
      </c>
      <c r="F183" s="281"/>
      <c r="G183" s="215" t="str">
        <f>VLOOKUP(B183,INSUMOS!$A:$I,5,FALSE)</f>
        <v>H</v>
      </c>
      <c r="H183" s="218">
        <v>1</v>
      </c>
      <c r="I183" s="217">
        <f>VLOOKUP(B183,INSUMOS!$A:$I,8,FALSE)</f>
        <v>0.35</v>
      </c>
      <c r="J183" s="217">
        <f t="shared" si="27"/>
        <v>0.35</v>
      </c>
      <c r="K183" s="4"/>
      <c r="L183" s="149">
        <f t="shared" si="24"/>
        <v>22</v>
      </c>
      <c r="M183" s="156">
        <f t="shared" si="21"/>
        <v>0.35</v>
      </c>
      <c r="N183" s="157" t="str">
        <f t="shared" si="22"/>
        <v/>
      </c>
      <c r="O183" s="157">
        <f t="shared" si="25"/>
        <v>0.35</v>
      </c>
      <c r="P183" s="158" t="str">
        <f t="shared" si="23"/>
        <v/>
      </c>
      <c r="Q183" s="157" t="str">
        <f>IF(P183&lt;&gt;"",SUMIF(L183:L227,L183,N183:N227),"")</f>
        <v/>
      </c>
      <c r="R183" s="157" t="str">
        <f>IF(P183&lt;&gt;"",SUMIF(L183:L227,L183,O183:O227),"")</f>
        <v/>
      </c>
    </row>
    <row r="184" spans="1:18" ht="38.25" customHeight="1" x14ac:dyDescent="0.2">
      <c r="A184" s="243" t="s">
        <v>30</v>
      </c>
      <c r="B184" s="216" t="s">
        <v>205</v>
      </c>
      <c r="C184" s="243" t="str">
        <f>VLOOKUP(B184,INSUMOS!$A:$I,2,FALSE)</f>
        <v>SINAPI</v>
      </c>
      <c r="D184" s="243" t="str">
        <f>VLOOKUP(B184,INSUMOS!$A:$I,3,FALSE)</f>
        <v>FERRAMENTAS - FAMILIA ELETRICISTA - HORISTA (ENCARGOS COMPLEMENTARES - COLETADO CAIXA)</v>
      </c>
      <c r="E184" s="281" t="str">
        <f>VLOOKUP(B184,INSUMOS!$A:$I,4,FALSE)</f>
        <v>Equipamento</v>
      </c>
      <c r="F184" s="281"/>
      <c r="G184" s="215" t="str">
        <f>VLOOKUP(B184,INSUMOS!$A:$I,5,FALSE)</f>
        <v>H</v>
      </c>
      <c r="H184" s="218">
        <v>1</v>
      </c>
      <c r="I184" s="217">
        <f>VLOOKUP(B184,INSUMOS!$A:$I,8,FALSE)</f>
        <v>0.55000000000000004</v>
      </c>
      <c r="J184" s="217">
        <f t="shared" si="27"/>
        <v>0.55000000000000004</v>
      </c>
      <c r="K184" s="4"/>
      <c r="L184" s="149">
        <f t="shared" si="24"/>
        <v>22</v>
      </c>
      <c r="M184" s="156">
        <f t="shared" si="21"/>
        <v>0.55000000000000004</v>
      </c>
      <c r="N184" s="157" t="str">
        <f t="shared" si="22"/>
        <v/>
      </c>
      <c r="O184" s="157">
        <f t="shared" si="25"/>
        <v>0.55000000000000004</v>
      </c>
      <c r="P184" s="158" t="str">
        <f t="shared" si="23"/>
        <v/>
      </c>
      <c r="Q184" s="157" t="str">
        <f>IF(P184&lt;&gt;"",SUMIF(L184:L227,L184,N184:N227),"")</f>
        <v/>
      </c>
      <c r="R184" s="157" t="str">
        <f>IF(P184&lt;&gt;"",SUMIF(L184:L227,L184,O184:O227),"")</f>
        <v/>
      </c>
    </row>
    <row r="185" spans="1:18" x14ac:dyDescent="0.2">
      <c r="A185" s="243" t="s">
        <v>30</v>
      </c>
      <c r="B185" s="216" t="s">
        <v>91</v>
      </c>
      <c r="C185" s="243" t="str">
        <f>VLOOKUP(B185,INSUMOS!$A:$I,2,FALSE)</f>
        <v>SINAPI</v>
      </c>
      <c r="D185" s="243" t="str">
        <f>VLOOKUP(B185,INSUMOS!$A:$I,3,FALSE)</f>
        <v>SEGURO - HORISTA (COLETADO CAIXA)</v>
      </c>
      <c r="E185" s="281" t="str">
        <f>VLOOKUP(B185,INSUMOS!$A:$I,4,FALSE)</f>
        <v>Taxas</v>
      </c>
      <c r="F185" s="281"/>
      <c r="G185" s="215" t="str">
        <f>VLOOKUP(B185,INSUMOS!$A:$I,5,FALSE)</f>
        <v>H</v>
      </c>
      <c r="H185" s="218">
        <v>1</v>
      </c>
      <c r="I185" s="217">
        <f>VLOOKUP(B185,INSUMOS!$A:$I,8,FALSE)</f>
        <v>7.0000000000000007E-2</v>
      </c>
      <c r="J185" s="217">
        <f t="shared" si="27"/>
        <v>7.0000000000000007E-2</v>
      </c>
      <c r="K185" s="4"/>
      <c r="L185" s="149">
        <f t="shared" si="24"/>
        <v>22</v>
      </c>
      <c r="M185" s="156">
        <f t="shared" si="21"/>
        <v>7.0000000000000007E-2</v>
      </c>
      <c r="N185" s="157" t="str">
        <f t="shared" si="22"/>
        <v/>
      </c>
      <c r="O185" s="157">
        <f t="shared" si="25"/>
        <v>7.0000000000000007E-2</v>
      </c>
      <c r="P185" s="158" t="str">
        <f t="shared" si="23"/>
        <v/>
      </c>
      <c r="Q185" s="157" t="str">
        <f>IF(P185&lt;&gt;"",SUMIF(L185:L227,L185,N185:N227),"")</f>
        <v/>
      </c>
      <c r="R185" s="157" t="str">
        <f>IF(P185&lt;&gt;"",SUMIF(L185:L227,L185,O185:O227),"")</f>
        <v/>
      </c>
    </row>
    <row r="186" spans="1:18" ht="15" customHeight="1" x14ac:dyDescent="0.2">
      <c r="A186" s="243" t="s">
        <v>30</v>
      </c>
      <c r="B186" s="216" t="s">
        <v>92</v>
      </c>
      <c r="C186" s="243" t="str">
        <f>VLOOKUP(B186,INSUMOS!$A:$I,2,FALSE)</f>
        <v>SINAPI</v>
      </c>
      <c r="D186" s="243" t="str">
        <f>VLOOKUP(B186,INSUMOS!$A:$I,3,FALSE)</f>
        <v>TRANSPORTE - HORISTA (COLETADO CAIXA)</v>
      </c>
      <c r="E186" s="281" t="str">
        <f>VLOOKUP(B186,INSUMOS!$A:$I,4,FALSE)</f>
        <v>Serviços</v>
      </c>
      <c r="F186" s="281"/>
      <c r="G186" s="215" t="str">
        <f>VLOOKUP(B186,INSUMOS!$A:$I,5,FALSE)</f>
        <v>H</v>
      </c>
      <c r="H186" s="218">
        <v>1</v>
      </c>
      <c r="I186" s="217">
        <f>VLOOKUP(B186,INSUMOS!$A:$I,8,FALSE)</f>
        <v>0.92</v>
      </c>
      <c r="J186" s="217">
        <f t="shared" si="27"/>
        <v>0.92</v>
      </c>
      <c r="K186" s="4"/>
      <c r="L186" s="149">
        <f t="shared" si="24"/>
        <v>22</v>
      </c>
      <c r="M186" s="156">
        <f t="shared" si="21"/>
        <v>0.92</v>
      </c>
      <c r="N186" s="157" t="str">
        <f t="shared" si="22"/>
        <v/>
      </c>
      <c r="O186" s="157">
        <f t="shared" si="25"/>
        <v>0.92</v>
      </c>
      <c r="P186" s="158" t="str">
        <f t="shared" si="23"/>
        <v/>
      </c>
      <c r="Q186" s="157" t="str">
        <f>IF(P186&lt;&gt;"",SUMIF(L186:L227,L186,N186:N227),"")</f>
        <v/>
      </c>
      <c r="R186" s="157" t="str">
        <f>IF(P186&lt;&gt;"",SUMIF(L186:L227,L186,O186:O227),"")</f>
        <v/>
      </c>
    </row>
    <row r="187" spans="1:18" x14ac:dyDescent="0.2">
      <c r="A187" s="246"/>
      <c r="B187" s="246"/>
      <c r="C187" s="246"/>
      <c r="D187" s="246"/>
      <c r="E187" s="246"/>
      <c r="F187" s="222"/>
      <c r="G187" s="246"/>
      <c r="H187" s="222"/>
      <c r="I187" s="246"/>
      <c r="J187" s="222"/>
      <c r="K187" s="4"/>
      <c r="L187" s="149">
        <f t="shared" si="24"/>
        <v>22</v>
      </c>
      <c r="M187" s="156" t="str">
        <f t="shared" si="21"/>
        <v/>
      </c>
      <c r="N187" s="157" t="str">
        <f t="shared" si="22"/>
        <v/>
      </c>
      <c r="O187" s="157" t="str">
        <f t="shared" si="25"/>
        <v/>
      </c>
      <c r="P187" s="158" t="str">
        <f t="shared" si="23"/>
        <v/>
      </c>
      <c r="Q187" s="157" t="str">
        <f>IF(P187&lt;&gt;"",SUMIF(L187:L227,L187,N187:N227),"")</f>
        <v/>
      </c>
      <c r="R187" s="157" t="str">
        <f>IF(P187&lt;&gt;"",SUMIF(L187:L227,L187,O187:O227),"")</f>
        <v/>
      </c>
    </row>
    <row r="188" spans="1:18" ht="15" customHeight="1" thickBot="1" x14ac:dyDescent="0.25">
      <c r="A188" s="246"/>
      <c r="B188" s="246"/>
      <c r="C188" s="246"/>
      <c r="D188" s="246"/>
      <c r="E188" s="246"/>
      <c r="F188" s="222"/>
      <c r="G188" s="246"/>
      <c r="H188" s="282"/>
      <c r="I188" s="282"/>
      <c r="J188" s="222"/>
      <c r="K188" s="4"/>
      <c r="L188" s="149">
        <f t="shared" si="24"/>
        <v>22</v>
      </c>
      <c r="M188" s="156" t="str">
        <f t="shared" si="21"/>
        <v/>
      </c>
      <c r="N188" s="157" t="str">
        <f t="shared" si="22"/>
        <v/>
      </c>
      <c r="O188" s="157" t="str">
        <f t="shared" si="25"/>
        <v/>
      </c>
      <c r="P188" s="158" t="str">
        <f t="shared" si="23"/>
        <v/>
      </c>
      <c r="Q188" s="157" t="str">
        <f>IF(P188&lt;&gt;"",SUMIF(L188:L227,L188,N188:N227),"")</f>
        <v/>
      </c>
      <c r="R188" s="157" t="str">
        <f>IF(P188&lt;&gt;"",SUMIF(L188:L227,L188,O188:O227),"")</f>
        <v/>
      </c>
    </row>
    <row r="189" spans="1:18" ht="14.25" customHeight="1" thickTop="1" x14ac:dyDescent="0.2">
      <c r="A189" s="210"/>
      <c r="B189" s="210"/>
      <c r="C189" s="210"/>
      <c r="D189" s="210"/>
      <c r="E189" s="210"/>
      <c r="F189" s="210"/>
      <c r="G189" s="210"/>
      <c r="H189" s="210"/>
      <c r="I189" s="210"/>
      <c r="J189" s="210"/>
      <c r="K189" s="4"/>
      <c r="L189" s="149">
        <f t="shared" si="24"/>
        <v>22</v>
      </c>
      <c r="M189" s="156" t="str">
        <f t="shared" si="21"/>
        <v/>
      </c>
      <c r="N189" s="157" t="str">
        <f t="shared" si="22"/>
        <v/>
      </c>
      <c r="O189" s="157" t="str">
        <f t="shared" si="25"/>
        <v/>
      </c>
      <c r="P189" s="158" t="str">
        <f t="shared" si="23"/>
        <v/>
      </c>
      <c r="Q189" s="157" t="str">
        <f>IF(P189&lt;&gt;"",SUMIF(L189:L227,L189,N189:N227),"")</f>
        <v/>
      </c>
      <c r="R189" s="157" t="str">
        <f>IF(P189&lt;&gt;"",SUMIF(L189:L227,L189,O189:O227),"")</f>
        <v/>
      </c>
    </row>
    <row r="190" spans="1:18" ht="38.25" customHeight="1" x14ac:dyDescent="0.2">
      <c r="A190" s="245"/>
      <c r="B190" s="203" t="s">
        <v>1</v>
      </c>
      <c r="C190" s="245" t="s">
        <v>2</v>
      </c>
      <c r="D190" s="245" t="s">
        <v>3</v>
      </c>
      <c r="E190" s="284" t="s">
        <v>17</v>
      </c>
      <c r="F190" s="284"/>
      <c r="G190" s="202" t="s">
        <v>4</v>
      </c>
      <c r="H190" s="203" t="s">
        <v>5</v>
      </c>
      <c r="I190" s="203" t="s">
        <v>6</v>
      </c>
      <c r="J190" s="203" t="s">
        <v>7</v>
      </c>
      <c r="K190" s="4"/>
      <c r="L190" s="149">
        <f t="shared" si="24"/>
        <v>23</v>
      </c>
      <c r="M190" s="156" t="str">
        <f t="shared" si="21"/>
        <v/>
      </c>
      <c r="N190" s="157" t="str">
        <f t="shared" si="22"/>
        <v/>
      </c>
      <c r="O190" s="157" t="str">
        <f t="shared" si="25"/>
        <v/>
      </c>
      <c r="P190" s="158" t="str">
        <f t="shared" si="23"/>
        <v/>
      </c>
      <c r="Q190" s="157" t="str">
        <f>IF(P190&lt;&gt;"",SUMIF(L190:L227,L190,N190:N227),"")</f>
        <v/>
      </c>
      <c r="R190" s="157" t="str">
        <f>IF(P190&lt;&gt;"",SUMIF(L190:L227,L190,O190:O227),"")</f>
        <v/>
      </c>
    </row>
    <row r="191" spans="1:18" ht="38.25" customHeight="1" x14ac:dyDescent="0.2">
      <c r="A191" s="247" t="s">
        <v>18</v>
      </c>
      <c r="B191" s="207" t="s">
        <v>113</v>
      </c>
      <c r="C191" s="247" t="s">
        <v>8</v>
      </c>
      <c r="D191" s="247" t="s">
        <v>70</v>
      </c>
      <c r="E191" s="285" t="s">
        <v>26</v>
      </c>
      <c r="F191" s="285"/>
      <c r="G191" s="206" t="s">
        <v>27</v>
      </c>
      <c r="H191" s="209">
        <v>1</v>
      </c>
      <c r="I191" s="208">
        <f>SUMIF(L:L,$L191,M:M)</f>
        <v>16.970000000000002</v>
      </c>
      <c r="J191" s="208">
        <f t="shared" ref="J191:J199" si="28">TRUNC(H191*I191,2)</f>
        <v>16.97</v>
      </c>
      <c r="K191" s="4"/>
      <c r="L191" s="149">
        <f t="shared" si="24"/>
        <v>23</v>
      </c>
      <c r="M191" s="156" t="str">
        <f t="shared" si="21"/>
        <v/>
      </c>
      <c r="N191" s="157" t="str">
        <f t="shared" si="22"/>
        <v/>
      </c>
      <c r="O191" s="157" t="str">
        <f t="shared" si="25"/>
        <v/>
      </c>
      <c r="P191" s="158" t="str">
        <f t="shared" si="23"/>
        <v xml:space="preserve"> 88278 </v>
      </c>
      <c r="Q191" s="157">
        <f>IF(P191&lt;&gt;"",SUMIF(L191:L227,L191,N191:N227),"")</f>
        <v>12.68</v>
      </c>
      <c r="R191" s="157">
        <f>IF(P191&lt;&gt;"",SUMIF(L191:L227,L191,O191:O227),"")</f>
        <v>4.29</v>
      </c>
    </row>
    <row r="192" spans="1:18" ht="38.25" customHeight="1" x14ac:dyDescent="0.2">
      <c r="A192" s="244" t="s">
        <v>20</v>
      </c>
      <c r="B192" s="212" t="s">
        <v>107</v>
      </c>
      <c r="C192" s="244" t="s">
        <v>8</v>
      </c>
      <c r="D192" s="244" t="s">
        <v>71</v>
      </c>
      <c r="E192" s="283" t="s">
        <v>26</v>
      </c>
      <c r="F192" s="283"/>
      <c r="G192" s="211" t="s">
        <v>27</v>
      </c>
      <c r="H192" s="214">
        <v>1</v>
      </c>
      <c r="I192" s="213">
        <f>SUMIFS(J:J,A:A,"Composição",B:B,$B192)</f>
        <v>0.1</v>
      </c>
      <c r="J192" s="213">
        <f t="shared" si="28"/>
        <v>0.1</v>
      </c>
      <c r="K192" s="4"/>
      <c r="L192" s="149">
        <f t="shared" si="24"/>
        <v>23</v>
      </c>
      <c r="M192" s="156">
        <f t="shared" si="21"/>
        <v>0.1</v>
      </c>
      <c r="N192" s="157" t="str">
        <f t="shared" si="22"/>
        <v/>
      </c>
      <c r="O192" s="157">
        <f t="shared" si="25"/>
        <v>0.1</v>
      </c>
      <c r="P192" s="158" t="str">
        <f t="shared" si="23"/>
        <v/>
      </c>
      <c r="Q192" s="157" t="str">
        <f>IF(P192&lt;&gt;"",SUMIF(L192:L227,L192,N192:N227),"")</f>
        <v/>
      </c>
      <c r="R192" s="157" t="str">
        <f>IF(P192&lt;&gt;"",SUMIF(L192:L227,L192,O192:O227),"")</f>
        <v/>
      </c>
    </row>
    <row r="193" spans="1:18" ht="38.25" customHeight="1" x14ac:dyDescent="0.2">
      <c r="A193" s="243" t="s">
        <v>30</v>
      </c>
      <c r="B193" s="216" t="s">
        <v>87</v>
      </c>
      <c r="C193" s="243" t="str">
        <f>VLOOKUP(B193,INSUMOS!$A:$I,2,FALSE)</f>
        <v>SINAPI</v>
      </c>
      <c r="D193" s="243" t="str">
        <f>VLOOKUP(B193,INSUMOS!$A:$I,3,FALSE)</f>
        <v>ALIMENTACAO - HORISTA (COLETADO CAIXA)</v>
      </c>
      <c r="E193" s="281" t="str">
        <f>VLOOKUP(B193,INSUMOS!$A:$I,4,FALSE)</f>
        <v>Outros</v>
      </c>
      <c r="F193" s="281"/>
      <c r="G193" s="215" t="str">
        <f>VLOOKUP(B193,INSUMOS!$A:$I,5,FALSE)</f>
        <v>H</v>
      </c>
      <c r="H193" s="218">
        <v>1</v>
      </c>
      <c r="I193" s="217">
        <f>VLOOKUP(B193,INSUMOS!$A:$I,8,FALSE)</f>
        <v>2.1800000000000002</v>
      </c>
      <c r="J193" s="217">
        <f t="shared" si="28"/>
        <v>2.1800000000000002</v>
      </c>
      <c r="K193" s="4"/>
      <c r="L193" s="149">
        <f t="shared" si="24"/>
        <v>23</v>
      </c>
      <c r="M193" s="156">
        <f t="shared" si="21"/>
        <v>2.1800000000000002</v>
      </c>
      <c r="N193" s="157" t="str">
        <f t="shared" si="22"/>
        <v/>
      </c>
      <c r="O193" s="157">
        <f t="shared" si="25"/>
        <v>2.1800000000000002</v>
      </c>
      <c r="P193" s="158" t="str">
        <f t="shared" si="23"/>
        <v/>
      </c>
      <c r="Q193" s="157" t="str">
        <f>IF(P193&lt;&gt;"",SUMIF(L193:L227,L193,N193:N227),"")</f>
        <v/>
      </c>
      <c r="R193" s="157" t="str">
        <f>IF(P193&lt;&gt;"",SUMIF(L193:L227,L193,O193:O227),"")</f>
        <v/>
      </c>
    </row>
    <row r="194" spans="1:18" ht="25.5" x14ac:dyDescent="0.2">
      <c r="A194" s="243" t="s">
        <v>30</v>
      </c>
      <c r="B194" s="216" t="s">
        <v>114</v>
      </c>
      <c r="C194" s="243" t="str">
        <f>VLOOKUP(B194,INSUMOS!$A:$I,2,FALSE)</f>
        <v>SINAPI</v>
      </c>
      <c r="D194" s="243" t="str">
        <f>VLOOKUP(B194,INSUMOS!$A:$I,3,FALSE)</f>
        <v>EPI - FAMILIA OPERADOR ESCAVADEIRA - HORISTA (ENCARGOS COMPLEMENTARES - COLETADO CAIXA)</v>
      </c>
      <c r="E194" s="281" t="str">
        <f>VLOOKUP(B194,INSUMOS!$A:$I,4,FALSE)</f>
        <v>Equipamento</v>
      </c>
      <c r="F194" s="281"/>
      <c r="G194" s="215" t="str">
        <f>VLOOKUP(B194,INSUMOS!$A:$I,5,FALSE)</f>
        <v>H</v>
      </c>
      <c r="H194" s="218">
        <v>1</v>
      </c>
      <c r="I194" s="217">
        <f>VLOOKUP(B194,INSUMOS!$A:$I,8,FALSE)</f>
        <v>0.66</v>
      </c>
      <c r="J194" s="217">
        <f t="shared" si="28"/>
        <v>0.66</v>
      </c>
      <c r="K194" s="4"/>
      <c r="L194" s="149">
        <f t="shared" si="24"/>
        <v>23</v>
      </c>
      <c r="M194" s="156">
        <f t="shared" si="21"/>
        <v>0.66</v>
      </c>
      <c r="N194" s="157" t="str">
        <f t="shared" si="22"/>
        <v/>
      </c>
      <c r="O194" s="157">
        <f t="shared" si="25"/>
        <v>0.66</v>
      </c>
      <c r="P194" s="158" t="str">
        <f t="shared" si="23"/>
        <v/>
      </c>
      <c r="Q194" s="157" t="str">
        <f>IF(P194&lt;&gt;"",SUMIF(L194:L227,L194,N194:N227),"")</f>
        <v/>
      </c>
      <c r="R194" s="157" t="str">
        <f>IF(P194&lt;&gt;"",SUMIF(L194:L227,L194,O194:O227),"")</f>
        <v/>
      </c>
    </row>
    <row r="195" spans="1:18" ht="15" customHeight="1" x14ac:dyDescent="0.2">
      <c r="A195" s="243" t="s">
        <v>30</v>
      </c>
      <c r="B195" s="216" t="s">
        <v>89</v>
      </c>
      <c r="C195" s="243" t="str">
        <f>VLOOKUP(B195,INSUMOS!$A:$I,2,FALSE)</f>
        <v>SINAPI</v>
      </c>
      <c r="D195" s="243" t="str">
        <f>VLOOKUP(B195,INSUMOS!$A:$I,3,FALSE)</f>
        <v>EXAMES - HORISTA (COLETADO CAIXA)</v>
      </c>
      <c r="E195" s="281" t="str">
        <f>VLOOKUP(B195,INSUMOS!$A:$I,4,FALSE)</f>
        <v>Outros</v>
      </c>
      <c r="F195" s="281"/>
      <c r="G195" s="215" t="str">
        <f>VLOOKUP(B195,INSUMOS!$A:$I,5,FALSE)</f>
        <v>H</v>
      </c>
      <c r="H195" s="218">
        <v>1</v>
      </c>
      <c r="I195" s="217">
        <f>VLOOKUP(B195,INSUMOS!$A:$I,8,FALSE)</f>
        <v>0.35</v>
      </c>
      <c r="J195" s="217">
        <f t="shared" si="28"/>
        <v>0.35</v>
      </c>
      <c r="K195" s="4"/>
      <c r="L195" s="149">
        <f t="shared" si="24"/>
        <v>23</v>
      </c>
      <c r="M195" s="156">
        <f t="shared" si="21"/>
        <v>0.35</v>
      </c>
      <c r="N195" s="157" t="str">
        <f t="shared" si="22"/>
        <v/>
      </c>
      <c r="O195" s="157">
        <f t="shared" si="25"/>
        <v>0.35</v>
      </c>
      <c r="P195" s="158" t="str">
        <f t="shared" si="23"/>
        <v/>
      </c>
      <c r="Q195" s="157" t="str">
        <f>IF(P195&lt;&gt;"",SUMIF(L195:L227,L195,N195:N227),"")</f>
        <v/>
      </c>
      <c r="R195" s="157" t="str">
        <f>IF(P195&lt;&gt;"",SUMIF(L195:L227,L195,O195:O227),"")</f>
        <v/>
      </c>
    </row>
    <row r="196" spans="1:18" ht="25.5" x14ac:dyDescent="0.2">
      <c r="A196" s="243" t="s">
        <v>30</v>
      </c>
      <c r="B196" s="216" t="s">
        <v>115</v>
      </c>
      <c r="C196" s="243" t="str">
        <f>VLOOKUP(B196,INSUMOS!$A:$I,2,FALSE)</f>
        <v>SINAPI</v>
      </c>
      <c r="D196" s="243" t="str">
        <f>VLOOKUP(B196,INSUMOS!$A:$I,3,FALSE)</f>
        <v>FERRAMENTAS - FAMILIA OPERADOR ESCAVADEIRA - HORISTA (ENCARGOS COMPLEMENTARES - COLETADO CAIXA)</v>
      </c>
      <c r="E196" s="281" t="str">
        <f>VLOOKUP(B196,INSUMOS!$A:$I,4,FALSE)</f>
        <v>Equipamento</v>
      </c>
      <c r="F196" s="281"/>
      <c r="G196" s="215" t="str">
        <f>VLOOKUP(B196,INSUMOS!$A:$I,5,FALSE)</f>
        <v>H</v>
      </c>
      <c r="H196" s="218">
        <v>1</v>
      </c>
      <c r="I196" s="217">
        <f>VLOOKUP(B196,INSUMOS!$A:$I,8,FALSE)</f>
        <v>0.01</v>
      </c>
      <c r="J196" s="217">
        <f t="shared" si="28"/>
        <v>0.01</v>
      </c>
      <c r="K196" s="4"/>
      <c r="L196" s="149">
        <f t="shared" si="24"/>
        <v>23</v>
      </c>
      <c r="M196" s="156">
        <f t="shared" si="21"/>
        <v>0.01</v>
      </c>
      <c r="N196" s="157" t="str">
        <f t="shared" si="22"/>
        <v/>
      </c>
      <c r="O196" s="157">
        <f t="shared" si="25"/>
        <v>0.01</v>
      </c>
      <c r="P196" s="158" t="str">
        <f t="shared" si="23"/>
        <v/>
      </c>
      <c r="Q196" s="157" t="str">
        <f>IF(P196&lt;&gt;"",SUMIF(L196:L227,L196,N196:N227),"")</f>
        <v/>
      </c>
      <c r="R196" s="157" t="str">
        <f>IF(P196&lt;&gt;"",SUMIF(L196:L227,L196,O196:O227),"")</f>
        <v/>
      </c>
    </row>
    <row r="197" spans="1:18" x14ac:dyDescent="0.2">
      <c r="A197" s="243" t="s">
        <v>30</v>
      </c>
      <c r="B197" s="216" t="s">
        <v>108</v>
      </c>
      <c r="C197" s="243" t="str">
        <f>VLOOKUP(B197,INSUMOS!$A:$I,2,FALSE)</f>
        <v>SINAPI</v>
      </c>
      <c r="D197" s="243" t="str">
        <f>VLOOKUP(B197,INSUMOS!$A:$I,3,FALSE)</f>
        <v>MONTADOR DE ESTRUTURAS METALICAS</v>
      </c>
      <c r="E197" s="281" t="str">
        <f>VLOOKUP(B197,INSUMOS!$A:$I,4,FALSE)</f>
        <v>Mão de Obra</v>
      </c>
      <c r="F197" s="281"/>
      <c r="G197" s="215" t="str">
        <f>VLOOKUP(B197,INSUMOS!$A:$I,5,FALSE)</f>
        <v>H</v>
      </c>
      <c r="H197" s="218">
        <v>1</v>
      </c>
      <c r="I197" s="217">
        <f>VLOOKUP(B197,INSUMOS!$A:$I,8,FALSE)</f>
        <v>12.68</v>
      </c>
      <c r="J197" s="217">
        <f t="shared" si="28"/>
        <v>12.68</v>
      </c>
      <c r="K197" s="4"/>
      <c r="L197" s="149">
        <f t="shared" si="24"/>
        <v>23</v>
      </c>
      <c r="M197" s="156">
        <f t="shared" si="21"/>
        <v>12.68</v>
      </c>
      <c r="N197" s="157">
        <f t="shared" si="22"/>
        <v>12.68</v>
      </c>
      <c r="O197" s="157" t="str">
        <f t="shared" si="25"/>
        <v/>
      </c>
      <c r="P197" s="158" t="str">
        <f t="shared" si="23"/>
        <v/>
      </c>
      <c r="Q197" s="157" t="str">
        <f>IF(P197&lt;&gt;"",SUMIF(L197:L227,L197,N197:N227),"")</f>
        <v/>
      </c>
      <c r="R197" s="157" t="str">
        <f>IF(P197&lt;&gt;"",SUMIF(L197:L227,L197,O197:O227),"")</f>
        <v/>
      </c>
    </row>
    <row r="198" spans="1:18" ht="38.25" customHeight="1" x14ac:dyDescent="0.2">
      <c r="A198" s="243" t="s">
        <v>30</v>
      </c>
      <c r="B198" s="216" t="s">
        <v>91</v>
      </c>
      <c r="C198" s="243" t="str">
        <f>VLOOKUP(B198,INSUMOS!$A:$I,2,FALSE)</f>
        <v>SINAPI</v>
      </c>
      <c r="D198" s="243" t="str">
        <f>VLOOKUP(B198,INSUMOS!$A:$I,3,FALSE)</f>
        <v>SEGURO - HORISTA (COLETADO CAIXA)</v>
      </c>
      <c r="E198" s="281" t="str">
        <f>VLOOKUP(B198,INSUMOS!$A:$I,4,FALSE)</f>
        <v>Taxas</v>
      </c>
      <c r="F198" s="281"/>
      <c r="G198" s="215" t="str">
        <f>VLOOKUP(B198,INSUMOS!$A:$I,5,FALSE)</f>
        <v>H</v>
      </c>
      <c r="H198" s="218">
        <v>1</v>
      </c>
      <c r="I198" s="217">
        <f>VLOOKUP(B198,INSUMOS!$A:$I,8,FALSE)</f>
        <v>7.0000000000000007E-2</v>
      </c>
      <c r="J198" s="217">
        <f t="shared" si="28"/>
        <v>7.0000000000000007E-2</v>
      </c>
      <c r="K198" s="4"/>
      <c r="L198" s="149">
        <f t="shared" si="24"/>
        <v>23</v>
      </c>
      <c r="M198" s="156">
        <f t="shared" si="21"/>
        <v>7.0000000000000007E-2</v>
      </c>
      <c r="N198" s="157" t="str">
        <f t="shared" si="22"/>
        <v/>
      </c>
      <c r="O198" s="157">
        <f t="shared" si="25"/>
        <v>7.0000000000000007E-2</v>
      </c>
      <c r="P198" s="158" t="str">
        <f t="shared" si="23"/>
        <v/>
      </c>
      <c r="Q198" s="157" t="str">
        <f>IF(P198&lt;&gt;"",SUMIF(L198:L227,L198,N198:N227),"")</f>
        <v/>
      </c>
      <c r="R198" s="157" t="str">
        <f>IF(P198&lt;&gt;"",SUMIF(L198:L227,L198,O198:O227),"")</f>
        <v/>
      </c>
    </row>
    <row r="199" spans="1:18" x14ac:dyDescent="0.2">
      <c r="A199" s="243" t="s">
        <v>30</v>
      </c>
      <c r="B199" s="216" t="s">
        <v>92</v>
      </c>
      <c r="C199" s="243" t="str">
        <f>VLOOKUP(B199,INSUMOS!$A:$I,2,FALSE)</f>
        <v>SINAPI</v>
      </c>
      <c r="D199" s="243" t="str">
        <f>VLOOKUP(B199,INSUMOS!$A:$I,3,FALSE)</f>
        <v>TRANSPORTE - HORISTA (COLETADO CAIXA)</v>
      </c>
      <c r="E199" s="281" t="str">
        <f>VLOOKUP(B199,INSUMOS!$A:$I,4,FALSE)</f>
        <v>Serviços</v>
      </c>
      <c r="F199" s="281"/>
      <c r="G199" s="215" t="str">
        <f>VLOOKUP(B199,INSUMOS!$A:$I,5,FALSE)</f>
        <v>H</v>
      </c>
      <c r="H199" s="218">
        <v>1</v>
      </c>
      <c r="I199" s="217">
        <f>VLOOKUP(B199,INSUMOS!$A:$I,8,FALSE)</f>
        <v>0.92</v>
      </c>
      <c r="J199" s="217">
        <f t="shared" si="28"/>
        <v>0.92</v>
      </c>
      <c r="K199" s="4"/>
      <c r="L199" s="149">
        <f t="shared" si="24"/>
        <v>23</v>
      </c>
      <c r="M199" s="156">
        <f t="shared" si="21"/>
        <v>0.92</v>
      </c>
      <c r="N199" s="157" t="str">
        <f t="shared" si="22"/>
        <v/>
      </c>
      <c r="O199" s="157">
        <f t="shared" si="25"/>
        <v>0.92</v>
      </c>
      <c r="P199" s="158" t="str">
        <f t="shared" si="23"/>
        <v/>
      </c>
      <c r="Q199" s="157" t="str">
        <f>IF(P199&lt;&gt;"",SUMIF(L199:L227,L199,N199:N227),"")</f>
        <v/>
      </c>
      <c r="R199" s="157" t="str">
        <f>IF(P199&lt;&gt;"",SUMIF(L199:L227,L199,O199:O227),"")</f>
        <v/>
      </c>
    </row>
    <row r="200" spans="1:18" x14ac:dyDescent="0.2">
      <c r="A200" s="246"/>
      <c r="B200" s="246"/>
      <c r="C200" s="246"/>
      <c r="D200" s="246"/>
      <c r="E200" s="246"/>
      <c r="F200" s="222"/>
      <c r="G200" s="246"/>
      <c r="H200" s="222"/>
      <c r="I200" s="246"/>
      <c r="J200" s="222"/>
      <c r="K200" s="4"/>
      <c r="L200" s="149">
        <f t="shared" si="24"/>
        <v>23</v>
      </c>
      <c r="M200" s="156" t="str">
        <f t="shared" si="21"/>
        <v/>
      </c>
      <c r="N200" s="157" t="str">
        <f t="shared" si="22"/>
        <v/>
      </c>
      <c r="O200" s="157" t="str">
        <f t="shared" si="25"/>
        <v/>
      </c>
      <c r="P200" s="158" t="str">
        <f t="shared" si="23"/>
        <v/>
      </c>
      <c r="Q200" s="157" t="str">
        <f>IF(P200&lt;&gt;"",SUMIF(L200:L227,L200,N200:N227),"")</f>
        <v/>
      </c>
      <c r="R200" s="157" t="str">
        <f>IF(P200&lt;&gt;"",SUMIF(L200:L227,L200,O200:O227),"")</f>
        <v/>
      </c>
    </row>
    <row r="201" spans="1:18" ht="15" customHeight="1" thickBot="1" x14ac:dyDescent="0.25">
      <c r="A201" s="246"/>
      <c r="B201" s="246"/>
      <c r="C201" s="246"/>
      <c r="D201" s="246"/>
      <c r="E201" s="246"/>
      <c r="F201" s="222"/>
      <c r="G201" s="246"/>
      <c r="H201" s="282"/>
      <c r="I201" s="282"/>
      <c r="J201" s="222"/>
      <c r="K201" s="4"/>
      <c r="L201" s="149">
        <f t="shared" si="24"/>
        <v>23</v>
      </c>
      <c r="M201" s="156" t="str">
        <f t="shared" si="21"/>
        <v/>
      </c>
      <c r="N201" s="157" t="str">
        <f t="shared" si="22"/>
        <v/>
      </c>
      <c r="O201" s="157" t="str">
        <f t="shared" si="25"/>
        <v/>
      </c>
      <c r="P201" s="158" t="str">
        <f t="shared" si="23"/>
        <v/>
      </c>
      <c r="Q201" s="157" t="str">
        <f>IF(P201&lt;&gt;"",SUMIF(L201:L227,L201,N201:N227),"")</f>
        <v/>
      </c>
      <c r="R201" s="157" t="str">
        <f>IF(P201&lt;&gt;"",SUMIF(L201:L227,L201,O201:O227),"")</f>
        <v/>
      </c>
    </row>
    <row r="202" spans="1:18" ht="25.5" customHeight="1" thickTop="1" x14ac:dyDescent="0.2">
      <c r="A202" s="210"/>
      <c r="B202" s="210"/>
      <c r="C202" s="210"/>
      <c r="D202" s="210"/>
      <c r="E202" s="210"/>
      <c r="F202" s="210"/>
      <c r="G202" s="210"/>
      <c r="H202" s="210"/>
      <c r="I202" s="210"/>
      <c r="J202" s="210"/>
      <c r="K202" s="4"/>
      <c r="L202" s="149">
        <f t="shared" si="24"/>
        <v>23</v>
      </c>
      <c r="M202" s="156" t="str">
        <f t="shared" si="21"/>
        <v/>
      </c>
      <c r="N202" s="157" t="str">
        <f t="shared" si="22"/>
        <v/>
      </c>
      <c r="O202" s="157" t="str">
        <f t="shared" si="25"/>
        <v/>
      </c>
      <c r="P202" s="158" t="str">
        <f t="shared" si="23"/>
        <v/>
      </c>
      <c r="Q202" s="157" t="str">
        <f>IF(P202&lt;&gt;"",SUMIF(L202:L227,L202,N202:N227),"")</f>
        <v/>
      </c>
      <c r="R202" s="157" t="str">
        <f>IF(P202&lt;&gt;"",SUMIF(L202:L227,L202,O202:O227),"")</f>
        <v/>
      </c>
    </row>
    <row r="203" spans="1:18" ht="38.25" customHeight="1" x14ac:dyDescent="0.2">
      <c r="A203" s="245"/>
      <c r="B203" s="203" t="s">
        <v>1</v>
      </c>
      <c r="C203" s="245" t="s">
        <v>2</v>
      </c>
      <c r="D203" s="245" t="s">
        <v>3</v>
      </c>
      <c r="E203" s="284" t="s">
        <v>17</v>
      </c>
      <c r="F203" s="284"/>
      <c r="G203" s="202" t="s">
        <v>4</v>
      </c>
      <c r="H203" s="203" t="s">
        <v>5</v>
      </c>
      <c r="I203" s="203" t="s">
        <v>6</v>
      </c>
      <c r="J203" s="203" t="s">
        <v>7</v>
      </c>
      <c r="K203" s="4"/>
      <c r="L203" s="149">
        <f t="shared" si="24"/>
        <v>24</v>
      </c>
      <c r="M203" s="156" t="str">
        <f t="shared" si="21"/>
        <v/>
      </c>
      <c r="N203" s="157" t="str">
        <f t="shared" si="22"/>
        <v/>
      </c>
      <c r="O203" s="157" t="str">
        <f t="shared" si="25"/>
        <v/>
      </c>
      <c r="P203" s="158" t="str">
        <f t="shared" si="23"/>
        <v/>
      </c>
      <c r="Q203" s="157" t="str">
        <f>IF(P203&lt;&gt;"",SUMIF(L203:L227,L203,N203:N227),"")</f>
        <v/>
      </c>
      <c r="R203" s="157" t="str">
        <f>IF(P203&lt;&gt;"",SUMIF(L203:L227,L203,O203:O227),"")</f>
        <v/>
      </c>
    </row>
    <row r="204" spans="1:18" ht="38.25" customHeight="1" x14ac:dyDescent="0.2">
      <c r="A204" s="247" t="s">
        <v>18</v>
      </c>
      <c r="B204" s="207" t="s">
        <v>93</v>
      </c>
      <c r="C204" s="247" t="s">
        <v>8</v>
      </c>
      <c r="D204" s="247" t="s">
        <v>69</v>
      </c>
      <c r="E204" s="285" t="s">
        <v>26</v>
      </c>
      <c r="F204" s="285"/>
      <c r="G204" s="206" t="s">
        <v>27</v>
      </c>
      <c r="H204" s="209">
        <v>1</v>
      </c>
      <c r="I204" s="208">
        <f>SUMIF(L:L,$L204,M:M)</f>
        <v>16.25</v>
      </c>
      <c r="J204" s="208">
        <f t="shared" ref="J204:J212" si="29">TRUNC(H204*I204,2)</f>
        <v>16.25</v>
      </c>
      <c r="K204" s="4"/>
      <c r="L204" s="149">
        <f t="shared" si="24"/>
        <v>24</v>
      </c>
      <c r="M204" s="156" t="str">
        <f t="shared" si="21"/>
        <v/>
      </c>
      <c r="N204" s="157" t="str">
        <f t="shared" si="22"/>
        <v/>
      </c>
      <c r="O204" s="157" t="str">
        <f t="shared" si="25"/>
        <v/>
      </c>
      <c r="P204" s="158" t="str">
        <f t="shared" si="23"/>
        <v xml:space="preserve"> 88377 </v>
      </c>
      <c r="Q204" s="157">
        <f>IF(P204&lt;&gt;"",SUMIF(L204:L227,L204,N204:N227),"")</f>
        <v>12</v>
      </c>
      <c r="R204" s="157">
        <f>IF(P204&lt;&gt;"",SUMIF(L204:L227,L204,O204:O227),"")</f>
        <v>4.25</v>
      </c>
    </row>
    <row r="205" spans="1:18" ht="38.25" x14ac:dyDescent="0.2">
      <c r="A205" s="244" t="s">
        <v>20</v>
      </c>
      <c r="B205" s="212" t="s">
        <v>109</v>
      </c>
      <c r="C205" s="244" t="s">
        <v>8</v>
      </c>
      <c r="D205" s="244" t="s">
        <v>68</v>
      </c>
      <c r="E205" s="283" t="s">
        <v>26</v>
      </c>
      <c r="F205" s="283"/>
      <c r="G205" s="211" t="s">
        <v>27</v>
      </c>
      <c r="H205" s="214">
        <v>1</v>
      </c>
      <c r="I205" s="213">
        <f>SUMIFS(J:J,A:A,"Composição",B:B,$B205)</f>
        <v>0.06</v>
      </c>
      <c r="J205" s="213">
        <f t="shared" si="29"/>
        <v>0.06</v>
      </c>
      <c r="K205" s="4"/>
      <c r="L205" s="149">
        <f t="shared" si="24"/>
        <v>24</v>
      </c>
      <c r="M205" s="156">
        <f t="shared" si="21"/>
        <v>0.06</v>
      </c>
      <c r="N205" s="157" t="str">
        <f t="shared" si="22"/>
        <v/>
      </c>
      <c r="O205" s="157">
        <f t="shared" si="25"/>
        <v>0.06</v>
      </c>
      <c r="P205" s="158" t="str">
        <f t="shared" si="23"/>
        <v/>
      </c>
      <c r="Q205" s="157" t="str">
        <f>IF(P205&lt;&gt;"",SUMIF(L205:L227,L205,N205:N227),"")</f>
        <v/>
      </c>
      <c r="R205" s="157" t="str">
        <f>IF(P205&lt;&gt;"",SUMIF(L205:L227,L205,O205:O227),"")</f>
        <v/>
      </c>
    </row>
    <row r="206" spans="1:18" x14ac:dyDescent="0.2">
      <c r="A206" s="243" t="s">
        <v>30</v>
      </c>
      <c r="B206" s="216" t="s">
        <v>87</v>
      </c>
      <c r="C206" s="243" t="str">
        <f>VLOOKUP(B206,INSUMOS!$A:$I,2,FALSE)</f>
        <v>SINAPI</v>
      </c>
      <c r="D206" s="243" t="str">
        <f>VLOOKUP(B206,INSUMOS!$A:$I,3,FALSE)</f>
        <v>ALIMENTACAO - HORISTA (COLETADO CAIXA)</v>
      </c>
      <c r="E206" s="281" t="str">
        <f>VLOOKUP(B206,INSUMOS!$A:$I,4,FALSE)</f>
        <v>Outros</v>
      </c>
      <c r="F206" s="281"/>
      <c r="G206" s="215" t="str">
        <f>VLOOKUP(B206,INSUMOS!$A:$I,5,FALSE)</f>
        <v>H</v>
      </c>
      <c r="H206" s="218">
        <v>1</v>
      </c>
      <c r="I206" s="217">
        <f>VLOOKUP(B206,INSUMOS!$A:$I,8,FALSE)</f>
        <v>2.1800000000000002</v>
      </c>
      <c r="J206" s="217">
        <f t="shared" si="29"/>
        <v>2.1800000000000002</v>
      </c>
      <c r="K206" s="4"/>
      <c r="L206" s="149">
        <f t="shared" si="24"/>
        <v>24</v>
      </c>
      <c r="M206" s="156">
        <f t="shared" si="21"/>
        <v>2.1800000000000002</v>
      </c>
      <c r="N206" s="157" t="str">
        <f t="shared" si="22"/>
        <v/>
      </c>
      <c r="O206" s="157">
        <f t="shared" si="25"/>
        <v>2.1800000000000002</v>
      </c>
      <c r="P206" s="158" t="str">
        <f t="shared" si="23"/>
        <v/>
      </c>
      <c r="Q206" s="157" t="str">
        <f>IF(P206&lt;&gt;"",SUMIF(L206:L227,L206,N206:N227),"")</f>
        <v/>
      </c>
      <c r="R206" s="157" t="str">
        <f>IF(P206&lt;&gt;"",SUMIF(L206:L227,L206,O206:O227),"")</f>
        <v/>
      </c>
    </row>
    <row r="207" spans="1:18" ht="15" customHeight="1" x14ac:dyDescent="0.2">
      <c r="A207" s="243" t="s">
        <v>30</v>
      </c>
      <c r="B207" s="216" t="s">
        <v>114</v>
      </c>
      <c r="C207" s="243" t="str">
        <f>VLOOKUP(B207,INSUMOS!$A:$I,2,FALSE)</f>
        <v>SINAPI</v>
      </c>
      <c r="D207" s="243" t="str">
        <f>VLOOKUP(B207,INSUMOS!$A:$I,3,FALSE)</f>
        <v>EPI - FAMILIA OPERADOR ESCAVADEIRA - HORISTA (ENCARGOS COMPLEMENTARES - COLETADO CAIXA)</v>
      </c>
      <c r="E207" s="281" t="str">
        <f>VLOOKUP(B207,INSUMOS!$A:$I,4,FALSE)</f>
        <v>Equipamento</v>
      </c>
      <c r="F207" s="281"/>
      <c r="G207" s="215" t="str">
        <f>VLOOKUP(B207,INSUMOS!$A:$I,5,FALSE)</f>
        <v>H</v>
      </c>
      <c r="H207" s="218">
        <v>1</v>
      </c>
      <c r="I207" s="217">
        <f>VLOOKUP(B207,INSUMOS!$A:$I,8,FALSE)</f>
        <v>0.66</v>
      </c>
      <c r="J207" s="217">
        <f t="shared" si="29"/>
        <v>0.66</v>
      </c>
      <c r="K207" s="4"/>
      <c r="L207" s="149">
        <f t="shared" si="24"/>
        <v>24</v>
      </c>
      <c r="M207" s="156">
        <f t="shared" si="21"/>
        <v>0.66</v>
      </c>
      <c r="N207" s="157" t="str">
        <f t="shared" si="22"/>
        <v/>
      </c>
      <c r="O207" s="157">
        <f t="shared" si="25"/>
        <v>0.66</v>
      </c>
      <c r="P207" s="158" t="str">
        <f t="shared" si="23"/>
        <v/>
      </c>
      <c r="Q207" s="157" t="str">
        <f>IF(P207&lt;&gt;"",SUMIF(L207:L227,L207,N207:N227),"")</f>
        <v/>
      </c>
      <c r="R207" s="157" t="str">
        <f>IF(P207&lt;&gt;"",SUMIF(L207:L227,L207,O207:O227),"")</f>
        <v/>
      </c>
    </row>
    <row r="208" spans="1:18" x14ac:dyDescent="0.2">
      <c r="A208" s="243" t="s">
        <v>30</v>
      </c>
      <c r="B208" s="216" t="s">
        <v>89</v>
      </c>
      <c r="C208" s="243" t="str">
        <f>VLOOKUP(B208,INSUMOS!$A:$I,2,FALSE)</f>
        <v>SINAPI</v>
      </c>
      <c r="D208" s="243" t="str">
        <f>VLOOKUP(B208,INSUMOS!$A:$I,3,FALSE)</f>
        <v>EXAMES - HORISTA (COLETADO CAIXA)</v>
      </c>
      <c r="E208" s="281" t="str">
        <f>VLOOKUP(B208,INSUMOS!$A:$I,4,FALSE)</f>
        <v>Outros</v>
      </c>
      <c r="F208" s="281"/>
      <c r="G208" s="215" t="str">
        <f>VLOOKUP(B208,INSUMOS!$A:$I,5,FALSE)</f>
        <v>H</v>
      </c>
      <c r="H208" s="218">
        <v>1</v>
      </c>
      <c r="I208" s="217">
        <f>VLOOKUP(B208,INSUMOS!$A:$I,8,FALSE)</f>
        <v>0.35</v>
      </c>
      <c r="J208" s="217">
        <f t="shared" si="29"/>
        <v>0.35</v>
      </c>
      <c r="K208" s="4"/>
      <c r="L208" s="149">
        <f t="shared" si="24"/>
        <v>24</v>
      </c>
      <c r="M208" s="156">
        <f t="shared" ref="M208:M222" si="30">IF(OR(A208="Insumo",A208="Composição Auxiliar"),J208,"")</f>
        <v>0.35</v>
      </c>
      <c r="N208" s="157" t="str">
        <f t="shared" ref="N208:N222" si="31">IF(E208="Mão de Obra",J208,"")</f>
        <v/>
      </c>
      <c r="O208" s="157">
        <f t="shared" si="25"/>
        <v>0.35</v>
      </c>
      <c r="P208" s="158" t="str">
        <f t="shared" ref="P208:P222" si="32">IF(A208="Composição",B208,"")</f>
        <v/>
      </c>
      <c r="Q208" s="157" t="str">
        <f>IF(P208&lt;&gt;"",SUMIF(L208:L227,L208,N208:N227),"")</f>
        <v/>
      </c>
      <c r="R208" s="157" t="str">
        <f>IF(P208&lt;&gt;"",SUMIF(L208:L227,L208,O208:O227),"")</f>
        <v/>
      </c>
    </row>
    <row r="209" spans="1:18" ht="25.5" x14ac:dyDescent="0.2">
      <c r="A209" s="243" t="s">
        <v>30</v>
      </c>
      <c r="B209" s="216" t="s">
        <v>115</v>
      </c>
      <c r="C209" s="243" t="str">
        <f>VLOOKUP(B209,INSUMOS!$A:$I,2,FALSE)</f>
        <v>SINAPI</v>
      </c>
      <c r="D209" s="243" t="str">
        <f>VLOOKUP(B209,INSUMOS!$A:$I,3,FALSE)</f>
        <v>FERRAMENTAS - FAMILIA OPERADOR ESCAVADEIRA - HORISTA (ENCARGOS COMPLEMENTARES - COLETADO CAIXA)</v>
      </c>
      <c r="E209" s="281" t="str">
        <f>VLOOKUP(B209,INSUMOS!$A:$I,4,FALSE)</f>
        <v>Equipamento</v>
      </c>
      <c r="F209" s="281"/>
      <c r="G209" s="215" t="str">
        <f>VLOOKUP(B209,INSUMOS!$A:$I,5,FALSE)</f>
        <v>H</v>
      </c>
      <c r="H209" s="218">
        <v>1</v>
      </c>
      <c r="I209" s="217">
        <f>VLOOKUP(B209,INSUMOS!$A:$I,8,FALSE)</f>
        <v>0.01</v>
      </c>
      <c r="J209" s="217">
        <f t="shared" si="29"/>
        <v>0.01</v>
      </c>
      <c r="K209" s="4"/>
      <c r="L209" s="149">
        <f t="shared" ref="L209:L222" si="33">IF(AND(A210&lt;&gt;"",A209=""),L208+1,L208)</f>
        <v>24</v>
      </c>
      <c r="M209" s="156">
        <f t="shared" si="30"/>
        <v>0.01</v>
      </c>
      <c r="N209" s="157" t="str">
        <f t="shared" si="31"/>
        <v/>
      </c>
      <c r="O209" s="157">
        <f t="shared" si="25"/>
        <v>0.01</v>
      </c>
      <c r="P209" s="158" t="str">
        <f t="shared" si="32"/>
        <v/>
      </c>
      <c r="Q209" s="157" t="str">
        <f>IF(P209&lt;&gt;"",SUMIF(L209:L227,L209,N209:N227),"")</f>
        <v/>
      </c>
      <c r="R209" s="157" t="str">
        <f>IF(P209&lt;&gt;"",SUMIF(L209:L227,L209,O209:O227),"")</f>
        <v/>
      </c>
    </row>
    <row r="210" spans="1:18" ht="38.25" customHeight="1" x14ac:dyDescent="0.2">
      <c r="A210" s="243" t="s">
        <v>30</v>
      </c>
      <c r="B210" s="216" t="s">
        <v>110</v>
      </c>
      <c r="C210" s="243" t="str">
        <f>VLOOKUP(B210,INSUMOS!$A:$I,2,FALSE)</f>
        <v>SINAPI</v>
      </c>
      <c r="D210" s="243" t="str">
        <f>VLOOKUP(B210,INSUMOS!$A:$I,3,FALSE)</f>
        <v>OPERADOR DE BETONEIRA ESTACIONARIA/MISTURADOR</v>
      </c>
      <c r="E210" s="281" t="str">
        <f>VLOOKUP(B210,INSUMOS!$A:$I,4,FALSE)</f>
        <v>Mão de Obra</v>
      </c>
      <c r="F210" s="281"/>
      <c r="G210" s="215" t="str">
        <f>VLOOKUP(B210,INSUMOS!$A:$I,5,FALSE)</f>
        <v>H</v>
      </c>
      <c r="H210" s="218">
        <v>1</v>
      </c>
      <c r="I210" s="217">
        <f>VLOOKUP(B210,INSUMOS!$A:$I,8,FALSE)</f>
        <v>12</v>
      </c>
      <c r="J210" s="217">
        <f t="shared" si="29"/>
        <v>12</v>
      </c>
      <c r="K210" s="4"/>
      <c r="L210" s="149">
        <f t="shared" si="33"/>
        <v>24</v>
      </c>
      <c r="M210" s="156">
        <f t="shared" si="30"/>
        <v>12</v>
      </c>
      <c r="N210" s="157">
        <f t="shared" si="31"/>
        <v>12</v>
      </c>
      <c r="O210" s="157" t="str">
        <f t="shared" si="25"/>
        <v/>
      </c>
      <c r="P210" s="158" t="str">
        <f t="shared" si="32"/>
        <v/>
      </c>
      <c r="Q210" s="157" t="str">
        <f>IF(P210&lt;&gt;"",SUMIF(L210:L227,L210,N210:N227),"")</f>
        <v/>
      </c>
      <c r="R210" s="157" t="str">
        <f>IF(P210&lt;&gt;"",SUMIF(L210:L227,L210,O210:O227),"")</f>
        <v/>
      </c>
    </row>
    <row r="211" spans="1:18" x14ac:dyDescent="0.2">
      <c r="A211" s="243" t="s">
        <v>30</v>
      </c>
      <c r="B211" s="216" t="s">
        <v>91</v>
      </c>
      <c r="C211" s="243" t="str">
        <f>VLOOKUP(B211,INSUMOS!$A:$I,2,FALSE)</f>
        <v>SINAPI</v>
      </c>
      <c r="D211" s="243" t="str">
        <f>VLOOKUP(B211,INSUMOS!$A:$I,3,FALSE)</f>
        <v>SEGURO - HORISTA (COLETADO CAIXA)</v>
      </c>
      <c r="E211" s="281" t="str">
        <f>VLOOKUP(B211,INSUMOS!$A:$I,4,FALSE)</f>
        <v>Taxas</v>
      </c>
      <c r="F211" s="281"/>
      <c r="G211" s="215" t="str">
        <f>VLOOKUP(B211,INSUMOS!$A:$I,5,FALSE)</f>
        <v>H</v>
      </c>
      <c r="H211" s="218">
        <v>1</v>
      </c>
      <c r="I211" s="217">
        <f>VLOOKUP(B211,INSUMOS!$A:$I,8,FALSE)</f>
        <v>7.0000000000000007E-2</v>
      </c>
      <c r="J211" s="217">
        <f t="shared" si="29"/>
        <v>7.0000000000000007E-2</v>
      </c>
      <c r="K211" s="4"/>
      <c r="L211" s="149">
        <f t="shared" si="33"/>
        <v>24</v>
      </c>
      <c r="M211" s="156">
        <f t="shared" si="30"/>
        <v>7.0000000000000007E-2</v>
      </c>
      <c r="N211" s="157" t="str">
        <f t="shared" si="31"/>
        <v/>
      </c>
      <c r="O211" s="157">
        <f t="shared" si="25"/>
        <v>7.0000000000000007E-2</v>
      </c>
      <c r="P211" s="158" t="str">
        <f t="shared" si="32"/>
        <v/>
      </c>
      <c r="Q211" s="157" t="str">
        <f>IF(P211&lt;&gt;"",SUMIF(L211:L227,L211,N211:N227),"")</f>
        <v/>
      </c>
      <c r="R211" s="157" t="str">
        <f>IF(P211&lt;&gt;"",SUMIF(L211:L227,L211,O211:O227),"")</f>
        <v/>
      </c>
    </row>
    <row r="212" spans="1:18" x14ac:dyDescent="0.2">
      <c r="A212" s="243" t="s">
        <v>30</v>
      </c>
      <c r="B212" s="216" t="s">
        <v>92</v>
      </c>
      <c r="C212" s="243" t="str">
        <f>VLOOKUP(B212,INSUMOS!$A:$I,2,FALSE)</f>
        <v>SINAPI</v>
      </c>
      <c r="D212" s="243" t="str">
        <f>VLOOKUP(B212,INSUMOS!$A:$I,3,FALSE)</f>
        <v>TRANSPORTE - HORISTA (COLETADO CAIXA)</v>
      </c>
      <c r="E212" s="281" t="str">
        <f>VLOOKUP(B212,INSUMOS!$A:$I,4,FALSE)</f>
        <v>Serviços</v>
      </c>
      <c r="F212" s="281"/>
      <c r="G212" s="215" t="str">
        <f>VLOOKUP(B212,INSUMOS!$A:$I,5,FALSE)</f>
        <v>H</v>
      </c>
      <c r="H212" s="218">
        <v>1</v>
      </c>
      <c r="I212" s="217">
        <f>VLOOKUP(B212,INSUMOS!$A:$I,8,FALSE)</f>
        <v>0.92</v>
      </c>
      <c r="J212" s="217">
        <f t="shared" si="29"/>
        <v>0.92</v>
      </c>
      <c r="K212" s="4"/>
      <c r="L212" s="149">
        <f t="shared" si="33"/>
        <v>24</v>
      </c>
      <c r="M212" s="156">
        <f t="shared" si="30"/>
        <v>0.92</v>
      </c>
      <c r="N212" s="157" t="str">
        <f t="shared" si="31"/>
        <v/>
      </c>
      <c r="O212" s="157">
        <f t="shared" si="25"/>
        <v>0.92</v>
      </c>
      <c r="P212" s="158" t="str">
        <f t="shared" si="32"/>
        <v/>
      </c>
      <c r="Q212" s="157" t="str">
        <f>IF(P212&lt;&gt;"",SUMIF(L212:L227,L212,N212:N227),"")</f>
        <v/>
      </c>
      <c r="R212" s="157" t="str">
        <f>IF(P212&lt;&gt;"",SUMIF(L212:L227,L212,O212:O227),"")</f>
        <v/>
      </c>
    </row>
    <row r="213" spans="1:18" ht="15" customHeight="1" x14ac:dyDescent="0.2">
      <c r="A213" s="246"/>
      <c r="B213" s="246"/>
      <c r="C213" s="246"/>
      <c r="D213" s="246"/>
      <c r="E213" s="246"/>
      <c r="F213" s="222"/>
      <c r="G213" s="246"/>
      <c r="H213" s="222"/>
      <c r="I213" s="246"/>
      <c r="J213" s="222"/>
      <c r="K213" s="4"/>
      <c r="L213" s="149">
        <f t="shared" si="33"/>
        <v>24</v>
      </c>
      <c r="M213" s="156" t="str">
        <f t="shared" si="30"/>
        <v/>
      </c>
      <c r="N213" s="157" t="str">
        <f t="shared" si="31"/>
        <v/>
      </c>
      <c r="O213" s="157" t="str">
        <f t="shared" ref="O213:O222" si="34">IF(N213&lt;&gt;"","",M213)</f>
        <v/>
      </c>
      <c r="P213" s="158" t="str">
        <f t="shared" si="32"/>
        <v/>
      </c>
      <c r="Q213" s="157" t="str">
        <f>IF(P213&lt;&gt;"",SUMIF(L213:L227,L213,N213:N227),"")</f>
        <v/>
      </c>
      <c r="R213" s="157" t="str">
        <f>IF(P213&lt;&gt;"",SUMIF(L213:L227,L213,O213:O227),"")</f>
        <v/>
      </c>
    </row>
    <row r="214" spans="1:18" ht="25.5" customHeight="1" thickBot="1" x14ac:dyDescent="0.25">
      <c r="A214" s="246"/>
      <c r="B214" s="246"/>
      <c r="C214" s="246"/>
      <c r="D214" s="246"/>
      <c r="E214" s="246"/>
      <c r="F214" s="222"/>
      <c r="G214" s="246"/>
      <c r="H214" s="282"/>
      <c r="I214" s="282"/>
      <c r="J214" s="222"/>
      <c r="K214" s="4"/>
      <c r="L214" s="149">
        <f t="shared" si="33"/>
        <v>24</v>
      </c>
      <c r="M214" s="156" t="str">
        <f t="shared" si="30"/>
        <v/>
      </c>
      <c r="N214" s="157" t="str">
        <f t="shared" si="31"/>
        <v/>
      </c>
      <c r="O214" s="157" t="str">
        <f t="shared" si="34"/>
        <v/>
      </c>
      <c r="P214" s="158" t="str">
        <f t="shared" si="32"/>
        <v/>
      </c>
      <c r="Q214" s="157" t="str">
        <f>IF(P214&lt;&gt;"",SUMIF(L214:L227,L214,N214:N227),"")</f>
        <v/>
      </c>
      <c r="R214" s="157" t="str">
        <f>IF(P214&lt;&gt;"",SUMIF(L214:L227,L214,O214:O227),"")</f>
        <v/>
      </c>
    </row>
    <row r="215" spans="1:18" ht="15" thickTop="1" x14ac:dyDescent="0.2">
      <c r="A215" s="210"/>
      <c r="B215" s="210"/>
      <c r="C215" s="210"/>
      <c r="D215" s="210"/>
      <c r="E215" s="210"/>
      <c r="F215" s="210"/>
      <c r="G215" s="210"/>
      <c r="H215" s="210"/>
      <c r="I215" s="210"/>
      <c r="J215" s="210"/>
      <c r="K215" s="4"/>
      <c r="L215" s="149">
        <f t="shared" si="33"/>
        <v>24</v>
      </c>
      <c r="M215" s="156" t="str">
        <f t="shared" si="30"/>
        <v/>
      </c>
      <c r="N215" s="157" t="str">
        <f t="shared" si="31"/>
        <v/>
      </c>
      <c r="O215" s="157" t="str">
        <f t="shared" si="34"/>
        <v/>
      </c>
      <c r="P215" s="158" t="str">
        <f t="shared" si="32"/>
        <v/>
      </c>
      <c r="Q215" s="157" t="str">
        <f>IF(P215&lt;&gt;"",SUMIF(L215:L227,L215,N215:N227),"")</f>
        <v/>
      </c>
      <c r="R215" s="157" t="str">
        <f>IF(P215&lt;&gt;"",SUMIF(L215:L227,L215,O215:O227),"")</f>
        <v/>
      </c>
    </row>
    <row r="216" spans="1:18" ht="38.25" customHeight="1" x14ac:dyDescent="0.2">
      <c r="A216" s="245"/>
      <c r="B216" s="203" t="s">
        <v>1</v>
      </c>
      <c r="C216" s="245" t="s">
        <v>2</v>
      </c>
      <c r="D216" s="245" t="s">
        <v>3</v>
      </c>
      <c r="E216" s="284" t="s">
        <v>17</v>
      </c>
      <c r="F216" s="284"/>
      <c r="G216" s="202" t="s">
        <v>4</v>
      </c>
      <c r="H216" s="203" t="s">
        <v>5</v>
      </c>
      <c r="I216" s="203" t="s">
        <v>6</v>
      </c>
      <c r="J216" s="203" t="s">
        <v>7</v>
      </c>
      <c r="K216" s="4"/>
      <c r="L216" s="149">
        <f t="shared" si="33"/>
        <v>25</v>
      </c>
      <c r="M216" s="156" t="str">
        <f t="shared" si="30"/>
        <v/>
      </c>
      <c r="N216" s="157" t="str">
        <f t="shared" si="31"/>
        <v/>
      </c>
      <c r="O216" s="157" t="str">
        <f t="shared" si="34"/>
        <v/>
      </c>
      <c r="P216" s="158" t="str">
        <f t="shared" si="32"/>
        <v/>
      </c>
      <c r="Q216" s="157" t="str">
        <f>IF(P216&lt;&gt;"",SUMIF(L216:L227,L216,N216:N227),"")</f>
        <v/>
      </c>
      <c r="R216" s="157" t="str">
        <f>IF(P216&lt;&gt;"",SUMIF(L216:L227,L216,O216:O227),"")</f>
        <v/>
      </c>
    </row>
    <row r="217" spans="1:18" ht="14.25" customHeight="1" x14ac:dyDescent="0.2">
      <c r="A217" s="247" t="s">
        <v>18</v>
      </c>
      <c r="B217" s="207" t="s">
        <v>28</v>
      </c>
      <c r="C217" s="247" t="s">
        <v>8</v>
      </c>
      <c r="D217" s="247" t="s">
        <v>29</v>
      </c>
      <c r="E217" s="285" t="s">
        <v>26</v>
      </c>
      <c r="F217" s="285"/>
      <c r="G217" s="206" t="s">
        <v>27</v>
      </c>
      <c r="H217" s="209">
        <v>1</v>
      </c>
      <c r="I217" s="208">
        <f>SUMIF(L:L,$L217,M:M)</f>
        <v>16.02</v>
      </c>
      <c r="J217" s="208">
        <f t="shared" ref="J217:J225" si="35">TRUNC(H217*I217,2)</f>
        <v>16.02</v>
      </c>
      <c r="K217" s="4"/>
      <c r="L217" s="149">
        <f t="shared" si="33"/>
        <v>25</v>
      </c>
      <c r="M217" s="156" t="str">
        <f t="shared" si="30"/>
        <v/>
      </c>
      <c r="N217" s="157" t="str">
        <f t="shared" si="31"/>
        <v/>
      </c>
      <c r="O217" s="157" t="str">
        <f t="shared" si="34"/>
        <v/>
      </c>
      <c r="P217" s="158" t="str">
        <f t="shared" si="32"/>
        <v xml:space="preserve"> 88316 </v>
      </c>
      <c r="Q217" s="157">
        <f>IF(P217&lt;&gt;"",SUMIF(L217:L227,L217,N217:N227),"")</f>
        <v>10.95</v>
      </c>
      <c r="R217" s="157">
        <f>IF(P217&lt;&gt;"",SUMIF(L217:L227,L217,O217:O227),"")</f>
        <v>5.07</v>
      </c>
    </row>
    <row r="218" spans="1:18" ht="25.5" x14ac:dyDescent="0.2">
      <c r="A218" s="244" t="s">
        <v>20</v>
      </c>
      <c r="B218" s="212" t="s">
        <v>111</v>
      </c>
      <c r="C218" s="244" t="s">
        <v>8</v>
      </c>
      <c r="D218" s="244" t="s">
        <v>67</v>
      </c>
      <c r="E218" s="283" t="s">
        <v>26</v>
      </c>
      <c r="F218" s="283"/>
      <c r="G218" s="211" t="s">
        <v>27</v>
      </c>
      <c r="H218" s="214">
        <v>1</v>
      </c>
      <c r="I218" s="213">
        <f>SUMIFS(J:J,A:A,"Composição",B:B,$B218)</f>
        <v>0.15</v>
      </c>
      <c r="J218" s="213">
        <f t="shared" si="35"/>
        <v>0.15</v>
      </c>
      <c r="K218" s="4"/>
      <c r="L218" s="149">
        <f t="shared" si="33"/>
        <v>25</v>
      </c>
      <c r="M218" s="156">
        <f t="shared" si="30"/>
        <v>0.15</v>
      </c>
      <c r="N218" s="157" t="str">
        <f t="shared" si="31"/>
        <v/>
      </c>
      <c r="O218" s="157">
        <f t="shared" si="34"/>
        <v>0.15</v>
      </c>
      <c r="P218" s="158" t="str">
        <f t="shared" si="32"/>
        <v/>
      </c>
      <c r="Q218" s="157" t="str">
        <f>IF(P218&lt;&gt;"",SUMIF(L218:L227,L218,N218:N227),"")</f>
        <v/>
      </c>
      <c r="R218" s="157" t="str">
        <f>IF(P218&lt;&gt;"",SUMIF(L218:L227,L218,O218:O227),"")</f>
        <v/>
      </c>
    </row>
    <row r="219" spans="1:18" ht="15" customHeight="1" x14ac:dyDescent="0.2">
      <c r="A219" s="243" t="s">
        <v>30</v>
      </c>
      <c r="B219" s="216" t="s">
        <v>87</v>
      </c>
      <c r="C219" s="243" t="str">
        <f>VLOOKUP(B219,INSUMOS!$A:$I,2,FALSE)</f>
        <v>SINAPI</v>
      </c>
      <c r="D219" s="243" t="str">
        <f>VLOOKUP(B219,INSUMOS!$A:$I,3,FALSE)</f>
        <v>ALIMENTACAO - HORISTA (COLETADO CAIXA)</v>
      </c>
      <c r="E219" s="281" t="str">
        <f>VLOOKUP(B219,INSUMOS!$A:$I,4,FALSE)</f>
        <v>Outros</v>
      </c>
      <c r="F219" s="281"/>
      <c r="G219" s="215" t="str">
        <f>VLOOKUP(B219,INSUMOS!$A:$I,5,FALSE)</f>
        <v>H</v>
      </c>
      <c r="H219" s="218">
        <v>1</v>
      </c>
      <c r="I219" s="217">
        <f>VLOOKUP(B219,INSUMOS!$A:$I,8,FALSE)</f>
        <v>2.1800000000000002</v>
      </c>
      <c r="J219" s="217">
        <f t="shared" si="35"/>
        <v>2.1800000000000002</v>
      </c>
      <c r="K219" s="4"/>
      <c r="L219" s="149">
        <f t="shared" si="33"/>
        <v>25</v>
      </c>
      <c r="M219" s="156">
        <f t="shared" si="30"/>
        <v>2.1800000000000002</v>
      </c>
      <c r="N219" s="157" t="str">
        <f t="shared" si="31"/>
        <v/>
      </c>
      <c r="O219" s="157">
        <f t="shared" si="34"/>
        <v>2.1800000000000002</v>
      </c>
      <c r="P219" s="158" t="str">
        <f t="shared" si="32"/>
        <v/>
      </c>
      <c r="Q219" s="157" t="str">
        <f>IF(P219&lt;&gt;"",SUMIF(L219:L227,L219,N219:N227),"")</f>
        <v/>
      </c>
      <c r="R219" s="157" t="str">
        <f>IF(P219&lt;&gt;"",SUMIF(L219:L227,L219,O219:O227),"")</f>
        <v/>
      </c>
    </row>
    <row r="220" spans="1:18" ht="25.5" x14ac:dyDescent="0.2">
      <c r="A220" s="243" t="s">
        <v>30</v>
      </c>
      <c r="B220" s="216" t="s">
        <v>116</v>
      </c>
      <c r="C220" s="243" t="str">
        <f>VLOOKUP(B220,INSUMOS!$A:$I,2,FALSE)</f>
        <v>SINAPI</v>
      </c>
      <c r="D220" s="243" t="str">
        <f>VLOOKUP(B220,INSUMOS!$A:$I,3,FALSE)</f>
        <v>EPI - FAMILIA SERVENTE - HORISTA (ENCARGOS COMPLEMENTARES - COLETADO CAIXA)</v>
      </c>
      <c r="E220" s="281" t="str">
        <f>VLOOKUP(B220,INSUMOS!$A:$I,4,FALSE)</f>
        <v>Equipamento</v>
      </c>
      <c r="F220" s="281"/>
      <c r="G220" s="215" t="str">
        <f>VLOOKUP(B220,INSUMOS!$A:$I,5,FALSE)</f>
        <v>H</v>
      </c>
      <c r="H220" s="218">
        <v>1</v>
      </c>
      <c r="I220" s="217">
        <f>VLOOKUP(B220,INSUMOS!$A:$I,8,FALSE)</f>
        <v>1.02</v>
      </c>
      <c r="J220" s="217">
        <f t="shared" si="35"/>
        <v>1.02</v>
      </c>
      <c r="K220" s="4"/>
      <c r="L220" s="149">
        <f t="shared" si="33"/>
        <v>25</v>
      </c>
      <c r="M220" s="156">
        <f t="shared" si="30"/>
        <v>1.02</v>
      </c>
      <c r="N220" s="157" t="str">
        <f t="shared" si="31"/>
        <v/>
      </c>
      <c r="O220" s="157">
        <f t="shared" si="34"/>
        <v>1.02</v>
      </c>
      <c r="P220" s="158" t="str">
        <f t="shared" si="32"/>
        <v/>
      </c>
      <c r="Q220" s="157" t="str">
        <f>IF(P220&lt;&gt;"",SUMIF(L220:L227,L220,N220:N227),"")</f>
        <v/>
      </c>
      <c r="R220" s="157" t="str">
        <f>IF(P220&lt;&gt;"",SUMIF(L220:L227,L220,O220:O227),"")</f>
        <v/>
      </c>
    </row>
    <row r="221" spans="1:18" x14ac:dyDescent="0.2">
      <c r="A221" s="243" t="s">
        <v>30</v>
      </c>
      <c r="B221" s="216" t="s">
        <v>89</v>
      </c>
      <c r="C221" s="243" t="str">
        <f>VLOOKUP(B221,INSUMOS!$A:$I,2,FALSE)</f>
        <v>SINAPI</v>
      </c>
      <c r="D221" s="243" t="str">
        <f>VLOOKUP(B221,INSUMOS!$A:$I,3,FALSE)</f>
        <v>EXAMES - HORISTA (COLETADO CAIXA)</v>
      </c>
      <c r="E221" s="281" t="str">
        <f>VLOOKUP(B221,INSUMOS!$A:$I,4,FALSE)</f>
        <v>Outros</v>
      </c>
      <c r="F221" s="281"/>
      <c r="G221" s="215" t="str">
        <f>VLOOKUP(B221,INSUMOS!$A:$I,5,FALSE)</f>
        <v>H</v>
      </c>
      <c r="H221" s="218">
        <v>1</v>
      </c>
      <c r="I221" s="217">
        <f>VLOOKUP(B221,INSUMOS!$A:$I,8,FALSE)</f>
        <v>0.35</v>
      </c>
      <c r="J221" s="217">
        <f t="shared" si="35"/>
        <v>0.35</v>
      </c>
      <c r="K221" s="4"/>
      <c r="L221" s="149">
        <f t="shared" si="33"/>
        <v>25</v>
      </c>
      <c r="M221" s="156">
        <f t="shared" si="30"/>
        <v>0.35</v>
      </c>
      <c r="N221" s="157" t="str">
        <f t="shared" si="31"/>
        <v/>
      </c>
      <c r="O221" s="157">
        <f t="shared" si="34"/>
        <v>0.35</v>
      </c>
      <c r="P221" s="158" t="str">
        <f t="shared" si="32"/>
        <v/>
      </c>
      <c r="Q221" s="157" t="str">
        <f>IF(P221&lt;&gt;"",SUMIF(L221:L227,L221,N221:N227),"")</f>
        <v/>
      </c>
      <c r="R221" s="157" t="str">
        <f>IF(P221&lt;&gt;"",SUMIF(L221:L227,L221,O221:O227),"")</f>
        <v/>
      </c>
    </row>
    <row r="222" spans="1:18" ht="38.25" customHeight="1" x14ac:dyDescent="0.2">
      <c r="A222" s="243" t="s">
        <v>30</v>
      </c>
      <c r="B222" s="216" t="s">
        <v>117</v>
      </c>
      <c r="C222" s="243" t="str">
        <f>VLOOKUP(B222,INSUMOS!$A:$I,2,FALSE)</f>
        <v>SINAPI</v>
      </c>
      <c r="D222" s="243" t="str">
        <f>VLOOKUP(B222,INSUMOS!$A:$I,3,FALSE)</f>
        <v>FERRAMENTAS - FAMILIA SERVENTE - HORISTA (ENCARGOS COMPLEMENTARES - COLETADO CAIXA)</v>
      </c>
      <c r="E222" s="281" t="str">
        <f>VLOOKUP(B222,INSUMOS!$A:$I,4,FALSE)</f>
        <v>Equipamento</v>
      </c>
      <c r="F222" s="281"/>
      <c r="G222" s="215" t="str">
        <f>VLOOKUP(B222,INSUMOS!$A:$I,5,FALSE)</f>
        <v>H</v>
      </c>
      <c r="H222" s="218">
        <v>1</v>
      </c>
      <c r="I222" s="217">
        <f>VLOOKUP(B222,INSUMOS!$A:$I,8,FALSE)</f>
        <v>0.38</v>
      </c>
      <c r="J222" s="217">
        <f t="shared" si="35"/>
        <v>0.38</v>
      </c>
      <c r="K222" s="4"/>
      <c r="L222" s="149">
        <f t="shared" si="33"/>
        <v>25</v>
      </c>
      <c r="M222" s="156">
        <f t="shared" si="30"/>
        <v>0.38</v>
      </c>
      <c r="N222" s="157" t="str">
        <f t="shared" si="31"/>
        <v/>
      </c>
      <c r="O222" s="157">
        <f t="shared" si="34"/>
        <v>0.38</v>
      </c>
      <c r="P222" s="158" t="str">
        <f t="shared" si="32"/>
        <v/>
      </c>
      <c r="Q222" s="157" t="str">
        <f>IF(P222&lt;&gt;"",SUMIF(L222:L227,L222,N222:N227),"")</f>
        <v/>
      </c>
      <c r="R222" s="157" t="str">
        <f>IF(P222&lt;&gt;"",SUMIF(L222:L227,L222,O222:O227),"")</f>
        <v/>
      </c>
    </row>
    <row r="223" spans="1:18" x14ac:dyDescent="0.2">
      <c r="A223" s="243" t="s">
        <v>30</v>
      </c>
      <c r="B223" s="216" t="s">
        <v>91</v>
      </c>
      <c r="C223" s="243" t="str">
        <f>VLOOKUP(B223,INSUMOS!$A:$I,2,FALSE)</f>
        <v>SINAPI</v>
      </c>
      <c r="D223" s="243" t="str">
        <f>VLOOKUP(B223,INSUMOS!$A:$I,3,FALSE)</f>
        <v>SEGURO - HORISTA (COLETADO CAIXA)</v>
      </c>
      <c r="E223" s="281" t="str">
        <f>VLOOKUP(B223,INSUMOS!$A:$I,4,FALSE)</f>
        <v>Taxas</v>
      </c>
      <c r="F223" s="281"/>
      <c r="G223" s="215" t="str">
        <f>VLOOKUP(B223,INSUMOS!$A:$I,5,FALSE)</f>
        <v>H</v>
      </c>
      <c r="H223" s="218">
        <v>1</v>
      </c>
      <c r="I223" s="217">
        <f>VLOOKUP(B223,INSUMOS!$A:$I,8,FALSE)</f>
        <v>7.0000000000000007E-2</v>
      </c>
      <c r="J223" s="217">
        <f t="shared" si="35"/>
        <v>7.0000000000000007E-2</v>
      </c>
      <c r="K223" s="4"/>
      <c r="L223" s="248">
        <f t="shared" ref="L223:L225" si="36">IF(AND(A224&lt;&gt;"",A223=""),L222+1,L222)</f>
        <v>25</v>
      </c>
      <c r="M223" s="156">
        <f t="shared" ref="M223:M225" si="37">IF(OR(A223="Insumo",A223="Composição Auxiliar"),J223,"")</f>
        <v>7.0000000000000007E-2</v>
      </c>
      <c r="N223" s="157" t="str">
        <f t="shared" ref="N223:N225" si="38">IF(E223="Mão de Obra",J223,"")</f>
        <v/>
      </c>
      <c r="O223" s="157">
        <f t="shared" ref="O223:O225" si="39">IF(N223&lt;&gt;"","",M223)</f>
        <v>7.0000000000000007E-2</v>
      </c>
      <c r="P223" s="158" t="str">
        <f t="shared" ref="P223:P225" si="40">IF(A223="Composição",B223,"")</f>
        <v/>
      </c>
      <c r="Q223" s="157" t="str">
        <f t="shared" ref="Q223:Q225" si="41">IF(P223&lt;&gt;"",SUMIF(L223:L228,L223,N223:N228),"")</f>
        <v/>
      </c>
      <c r="R223" s="157" t="str">
        <f t="shared" ref="R223:R225" si="42">IF(P223&lt;&gt;"",SUMIF(L223:L228,L223,O223:O228),"")</f>
        <v/>
      </c>
    </row>
    <row r="224" spans="1:18" ht="38.25" customHeight="1" x14ac:dyDescent="0.2">
      <c r="A224" s="243" t="s">
        <v>30</v>
      </c>
      <c r="B224" s="216" t="s">
        <v>112</v>
      </c>
      <c r="C224" s="243" t="str">
        <f>VLOOKUP(B224,INSUMOS!$A:$I,2,FALSE)</f>
        <v>SINAPI</v>
      </c>
      <c r="D224" s="243" t="str">
        <f>VLOOKUP(B224,INSUMOS!$A:$I,3,FALSE)</f>
        <v>SERVENTE DE OBRAS</v>
      </c>
      <c r="E224" s="281" t="str">
        <f>VLOOKUP(B224,INSUMOS!$A:$I,4,FALSE)</f>
        <v>Mão de Obra</v>
      </c>
      <c r="F224" s="281"/>
      <c r="G224" s="215" t="str">
        <f>VLOOKUP(B224,INSUMOS!$A:$I,5,FALSE)</f>
        <v>H</v>
      </c>
      <c r="H224" s="218">
        <v>1</v>
      </c>
      <c r="I224" s="217">
        <f>VLOOKUP(B224,INSUMOS!$A:$I,8,FALSE)</f>
        <v>10.95</v>
      </c>
      <c r="J224" s="217">
        <f t="shared" si="35"/>
        <v>10.95</v>
      </c>
      <c r="K224" s="4"/>
      <c r="L224" s="248">
        <f t="shared" si="36"/>
        <v>25</v>
      </c>
      <c r="M224" s="156">
        <f t="shared" si="37"/>
        <v>10.95</v>
      </c>
      <c r="N224" s="157">
        <f t="shared" si="38"/>
        <v>10.95</v>
      </c>
      <c r="O224" s="157" t="str">
        <f t="shared" si="39"/>
        <v/>
      </c>
      <c r="P224" s="158" t="str">
        <f t="shared" si="40"/>
        <v/>
      </c>
      <c r="Q224" s="157" t="str">
        <f t="shared" si="41"/>
        <v/>
      </c>
      <c r="R224" s="157" t="str">
        <f t="shared" si="42"/>
        <v/>
      </c>
    </row>
    <row r="225" spans="1:18" ht="38.25" customHeight="1" x14ac:dyDescent="0.2">
      <c r="A225" s="243" t="s">
        <v>30</v>
      </c>
      <c r="B225" s="216" t="s">
        <v>92</v>
      </c>
      <c r="C225" s="243" t="str">
        <f>VLOOKUP(B225,INSUMOS!$A:$I,2,FALSE)</f>
        <v>SINAPI</v>
      </c>
      <c r="D225" s="243" t="str">
        <f>VLOOKUP(B225,INSUMOS!$A:$I,3,FALSE)</f>
        <v>TRANSPORTE - HORISTA (COLETADO CAIXA)</v>
      </c>
      <c r="E225" s="281" t="str">
        <f>VLOOKUP(B225,INSUMOS!$A:$I,4,FALSE)</f>
        <v>Serviços</v>
      </c>
      <c r="F225" s="281"/>
      <c r="G225" s="215" t="str">
        <f>VLOOKUP(B225,INSUMOS!$A:$I,5,FALSE)</f>
        <v>H</v>
      </c>
      <c r="H225" s="218">
        <v>1</v>
      </c>
      <c r="I225" s="217">
        <f>VLOOKUP(B225,INSUMOS!$A:$I,8,FALSE)</f>
        <v>0.92</v>
      </c>
      <c r="J225" s="217">
        <f t="shared" si="35"/>
        <v>0.92</v>
      </c>
      <c r="K225" s="4"/>
      <c r="L225" s="248">
        <f t="shared" si="36"/>
        <v>25</v>
      </c>
      <c r="M225" s="156">
        <f t="shared" si="37"/>
        <v>0.92</v>
      </c>
      <c r="N225" s="157" t="str">
        <f t="shared" si="38"/>
        <v/>
      </c>
      <c r="O225" s="157">
        <f t="shared" si="39"/>
        <v>0.92</v>
      </c>
      <c r="P225" s="158" t="str">
        <f t="shared" si="40"/>
        <v/>
      </c>
      <c r="Q225" s="157" t="str">
        <f t="shared" si="41"/>
        <v/>
      </c>
      <c r="R225" s="157" t="str">
        <f t="shared" si="42"/>
        <v/>
      </c>
    </row>
    <row r="226" spans="1:18" x14ac:dyDescent="0.2">
      <c r="A226" s="246"/>
      <c r="B226" s="246"/>
      <c r="C226" s="246"/>
      <c r="D226" s="246"/>
      <c r="E226" s="246"/>
      <c r="F226" s="222"/>
      <c r="G226" s="246"/>
      <c r="H226" s="222"/>
      <c r="I226" s="246"/>
      <c r="J226" s="222"/>
      <c r="K226" s="4"/>
      <c r="L226" s="248">
        <f t="shared" ref="L226:L238" si="43">IF(AND(A227&lt;&gt;"",A226=""),L225+1,L225)</f>
        <v>25</v>
      </c>
      <c r="M226" s="156" t="str">
        <f t="shared" ref="M226:M238" si="44">IF(OR(A226="Insumo",A226="Composição Auxiliar"),J226,"")</f>
        <v/>
      </c>
      <c r="N226" s="157" t="str">
        <f t="shared" ref="N226:N238" si="45">IF(E226="Mão de Obra",J226,"")</f>
        <v/>
      </c>
      <c r="O226" s="157" t="str">
        <f t="shared" ref="O226:O238" si="46">IF(N226&lt;&gt;"","",M226)</f>
        <v/>
      </c>
      <c r="P226" s="158" t="str">
        <f t="shared" ref="P226:P238" si="47">IF(A226="Composição",B226,"")</f>
        <v/>
      </c>
      <c r="Q226" s="157" t="str">
        <f t="shared" ref="Q226:Q238" si="48">IF(P226&lt;&gt;"",SUMIF(L226:L231,L226,N226:N231),"")</f>
        <v/>
      </c>
      <c r="R226" s="157" t="str">
        <f t="shared" ref="R226:R238" si="49">IF(P226&lt;&gt;"",SUMIF(L226:L231,L226,O226:O231),"")</f>
        <v/>
      </c>
    </row>
    <row r="227" spans="1:18" ht="14.25" customHeight="1" x14ac:dyDescent="0.2">
      <c r="A227" s="246"/>
      <c r="B227" s="246"/>
      <c r="C227" s="246"/>
      <c r="D227" s="246"/>
      <c r="E227" s="246"/>
      <c r="F227" s="222"/>
      <c r="G227" s="246"/>
      <c r="H227" s="282"/>
      <c r="I227" s="282"/>
      <c r="J227" s="222"/>
      <c r="K227" s="4"/>
      <c r="L227" s="248">
        <f t="shared" si="43"/>
        <v>25</v>
      </c>
      <c r="M227" s="156" t="str">
        <f t="shared" si="44"/>
        <v/>
      </c>
      <c r="N227" s="157" t="str">
        <f t="shared" si="45"/>
        <v/>
      </c>
      <c r="O227" s="157" t="str">
        <f t="shared" si="46"/>
        <v/>
      </c>
      <c r="P227" s="158" t="str">
        <f t="shared" si="47"/>
        <v/>
      </c>
      <c r="Q227" s="157" t="str">
        <f t="shared" si="48"/>
        <v/>
      </c>
      <c r="R227" s="157" t="str">
        <f t="shared" si="49"/>
        <v/>
      </c>
    </row>
    <row r="228" spans="1:18" ht="15" x14ac:dyDescent="0.2">
      <c r="A228" s="245"/>
      <c r="B228" s="203" t="s">
        <v>1</v>
      </c>
      <c r="C228" s="245" t="s">
        <v>2</v>
      </c>
      <c r="D228" s="245" t="s">
        <v>3</v>
      </c>
      <c r="E228" s="284" t="s">
        <v>17</v>
      </c>
      <c r="F228" s="284"/>
      <c r="G228" s="202" t="s">
        <v>4</v>
      </c>
      <c r="H228" s="203" t="s">
        <v>5</v>
      </c>
      <c r="I228" s="203" t="s">
        <v>6</v>
      </c>
      <c r="J228" s="203" t="s">
        <v>7</v>
      </c>
      <c r="L228" s="248">
        <f t="shared" si="43"/>
        <v>26</v>
      </c>
      <c r="M228" s="156" t="str">
        <f t="shared" si="44"/>
        <v/>
      </c>
      <c r="N228" s="157" t="str">
        <f t="shared" si="45"/>
        <v/>
      </c>
      <c r="O228" s="157" t="str">
        <f t="shared" si="46"/>
        <v/>
      </c>
      <c r="P228" s="158" t="str">
        <f t="shared" si="47"/>
        <v/>
      </c>
      <c r="Q228" s="157" t="str">
        <f t="shared" si="48"/>
        <v/>
      </c>
      <c r="R228" s="157" t="str">
        <f t="shared" si="49"/>
        <v/>
      </c>
    </row>
    <row r="229" spans="1:18" x14ac:dyDescent="0.2">
      <c r="A229" s="247" t="s">
        <v>18</v>
      </c>
      <c r="B229" s="207" t="s">
        <v>275</v>
      </c>
      <c r="C229" s="247" t="s">
        <v>8</v>
      </c>
      <c r="D229" s="247" t="s">
        <v>276</v>
      </c>
      <c r="E229" s="285" t="s">
        <v>26</v>
      </c>
      <c r="F229" s="285"/>
      <c r="G229" s="206" t="s">
        <v>27</v>
      </c>
      <c r="H229" s="209">
        <v>1</v>
      </c>
      <c r="I229" s="208">
        <f>SUMIF(L:L,$L229,M:M)</f>
        <v>126.33999999999999</v>
      </c>
      <c r="J229" s="208">
        <f t="shared" ref="J229:J235" si="50">TRUNC(H229*I229,2)</f>
        <v>126.34</v>
      </c>
      <c r="L229" s="248">
        <f t="shared" si="43"/>
        <v>26</v>
      </c>
      <c r="M229" s="156" t="str">
        <f t="shared" si="44"/>
        <v/>
      </c>
      <c r="N229" s="157" t="str">
        <f t="shared" si="45"/>
        <v/>
      </c>
      <c r="O229" s="157" t="str">
        <f t="shared" si="46"/>
        <v/>
      </c>
      <c r="P229" s="158" t="str">
        <f t="shared" si="47"/>
        <v xml:space="preserve"> 91677 </v>
      </c>
      <c r="Q229" s="157">
        <f t="shared" si="48"/>
        <v>122.47</v>
      </c>
      <c r="R229" s="157">
        <f t="shared" si="49"/>
        <v>3.8</v>
      </c>
    </row>
    <row r="230" spans="1:18" ht="25.5" x14ac:dyDescent="0.2">
      <c r="A230" s="244" t="s">
        <v>20</v>
      </c>
      <c r="B230" s="212" t="s">
        <v>273</v>
      </c>
      <c r="C230" s="244" t="s">
        <v>8</v>
      </c>
      <c r="D230" s="244" t="s">
        <v>274</v>
      </c>
      <c r="E230" s="283" t="s">
        <v>26</v>
      </c>
      <c r="F230" s="283"/>
      <c r="G230" s="211" t="s">
        <v>27</v>
      </c>
      <c r="H230" s="214">
        <v>1</v>
      </c>
      <c r="I230" s="213">
        <f>SUMIFS(J:J,A:A,"Composição",B:B,$B230)</f>
        <v>2.87</v>
      </c>
      <c r="J230" s="213">
        <f t="shared" si="50"/>
        <v>2.87</v>
      </c>
      <c r="L230" s="248">
        <f t="shared" si="43"/>
        <v>26</v>
      </c>
      <c r="M230" s="156">
        <f t="shared" si="44"/>
        <v>2.87</v>
      </c>
      <c r="N230" s="157" t="str">
        <f t="shared" si="45"/>
        <v/>
      </c>
      <c r="O230" s="157">
        <f t="shared" si="46"/>
        <v>2.87</v>
      </c>
      <c r="P230" s="158" t="str">
        <f t="shared" si="47"/>
        <v/>
      </c>
      <c r="Q230" s="157" t="str">
        <f t="shared" si="48"/>
        <v/>
      </c>
      <c r="R230" s="157" t="str">
        <f t="shared" si="49"/>
        <v/>
      </c>
    </row>
    <row r="231" spans="1:18" x14ac:dyDescent="0.2">
      <c r="A231" s="243" t="s">
        <v>30</v>
      </c>
      <c r="B231" s="216" t="s">
        <v>196</v>
      </c>
      <c r="C231" s="243" t="str">
        <f>VLOOKUP(B231,INSUMOS!$A:$I,2,FALSE)</f>
        <v>SINAPI</v>
      </c>
      <c r="D231" s="243" t="str">
        <f>VLOOKUP(B231,INSUMOS!$A:$I,3,FALSE)</f>
        <v>ENGENHEIRO ELETRICISTA</v>
      </c>
      <c r="E231" s="281" t="str">
        <f>VLOOKUP(B231,INSUMOS!$A:$I,4,FALSE)</f>
        <v>Mão de Obra</v>
      </c>
      <c r="F231" s="281"/>
      <c r="G231" s="215" t="str">
        <f>VLOOKUP(B231,INSUMOS!$A:$I,5,FALSE)</f>
        <v>H</v>
      </c>
      <c r="H231" s="218">
        <v>1</v>
      </c>
      <c r="I231" s="217">
        <f>VLOOKUP(B231,INSUMOS!$A:$I,8,FALSE)</f>
        <v>122.47</v>
      </c>
      <c r="J231" s="217">
        <f t="shared" si="50"/>
        <v>122.47</v>
      </c>
      <c r="L231" s="248">
        <f t="shared" si="43"/>
        <v>26</v>
      </c>
      <c r="M231" s="156">
        <f t="shared" si="44"/>
        <v>122.47</v>
      </c>
      <c r="N231" s="157">
        <f t="shared" si="45"/>
        <v>122.47</v>
      </c>
      <c r="O231" s="157" t="str">
        <f t="shared" si="46"/>
        <v/>
      </c>
      <c r="P231" s="158" t="str">
        <f t="shared" si="47"/>
        <v/>
      </c>
      <c r="Q231" s="157" t="str">
        <f t="shared" si="48"/>
        <v/>
      </c>
      <c r="R231" s="157" t="str">
        <f t="shared" si="49"/>
        <v/>
      </c>
    </row>
    <row r="232" spans="1:18" ht="25.5" x14ac:dyDescent="0.2">
      <c r="A232" s="243" t="s">
        <v>30</v>
      </c>
      <c r="B232" s="216" t="s">
        <v>227</v>
      </c>
      <c r="C232" s="243" t="str">
        <f>VLOOKUP(B232,INSUMOS!$A:$I,2,FALSE)</f>
        <v>SINAPI</v>
      </c>
      <c r="D232" s="243" t="str">
        <f>VLOOKUP(B232,INSUMOS!$A:$I,3,FALSE)</f>
        <v>EPI - FAMILIA ENGENHEIRO CIVIL - HORISTA (ENCARGOS COMPLEMENTARES - COLETADO CAIXA)</v>
      </c>
      <c r="E232" s="281" t="str">
        <f>VLOOKUP(B232,INSUMOS!$A:$I,4,FALSE)</f>
        <v>Equipamento</v>
      </c>
      <c r="F232" s="281"/>
      <c r="G232" s="215" t="str">
        <f>VLOOKUP(B232,INSUMOS!$A:$I,5,FALSE)</f>
        <v>H</v>
      </c>
      <c r="H232" s="218">
        <v>1</v>
      </c>
      <c r="I232" s="217">
        <f>VLOOKUP(B232,INSUMOS!$A:$I,8,FALSE)</f>
        <v>0.56999999999999995</v>
      </c>
      <c r="J232" s="217">
        <f t="shared" si="50"/>
        <v>0.56999999999999995</v>
      </c>
      <c r="L232" s="248">
        <f t="shared" si="43"/>
        <v>26</v>
      </c>
      <c r="M232" s="156">
        <f t="shared" si="44"/>
        <v>0.56999999999999995</v>
      </c>
      <c r="N232" s="157" t="str">
        <f t="shared" si="45"/>
        <v/>
      </c>
      <c r="O232" s="157">
        <f t="shared" si="46"/>
        <v>0.56999999999999995</v>
      </c>
      <c r="P232" s="158" t="str">
        <f t="shared" si="47"/>
        <v/>
      </c>
      <c r="Q232" s="157" t="str">
        <f t="shared" si="48"/>
        <v/>
      </c>
      <c r="R232" s="157" t="str">
        <f t="shared" si="49"/>
        <v/>
      </c>
    </row>
    <row r="233" spans="1:18" x14ac:dyDescent="0.2">
      <c r="A233" s="243" t="s">
        <v>30</v>
      </c>
      <c r="B233" s="216" t="s">
        <v>89</v>
      </c>
      <c r="C233" s="243" t="str">
        <f>VLOOKUP(B233,INSUMOS!$A:$I,2,FALSE)</f>
        <v>SINAPI</v>
      </c>
      <c r="D233" s="243" t="str">
        <f>VLOOKUP(B233,INSUMOS!$A:$I,3,FALSE)</f>
        <v>EXAMES - HORISTA (COLETADO CAIXA)</v>
      </c>
      <c r="E233" s="281" t="str">
        <f>VLOOKUP(B233,INSUMOS!$A:$I,4,FALSE)</f>
        <v>Outros</v>
      </c>
      <c r="F233" s="281"/>
      <c r="G233" s="215" t="str">
        <f>VLOOKUP(B233,INSUMOS!$A:$I,5,FALSE)</f>
        <v>H</v>
      </c>
      <c r="H233" s="218">
        <v>1</v>
      </c>
      <c r="I233" s="217">
        <f>VLOOKUP(B233,INSUMOS!$A:$I,8,FALSE)</f>
        <v>0.35</v>
      </c>
      <c r="J233" s="217">
        <f t="shared" si="50"/>
        <v>0.35</v>
      </c>
      <c r="L233" s="248">
        <f t="shared" si="43"/>
        <v>26</v>
      </c>
      <c r="M233" s="156">
        <f t="shared" si="44"/>
        <v>0.35</v>
      </c>
      <c r="N233" s="157" t="str">
        <f t="shared" si="45"/>
        <v/>
      </c>
      <c r="O233" s="157">
        <f t="shared" si="46"/>
        <v>0.35</v>
      </c>
      <c r="P233" s="158" t="str">
        <f t="shared" si="47"/>
        <v/>
      </c>
      <c r="Q233" s="157" t="str">
        <f t="shared" si="48"/>
        <v/>
      </c>
      <c r="R233" s="157" t="str">
        <f t="shared" si="49"/>
        <v/>
      </c>
    </row>
    <row r="234" spans="1:18" ht="25.5" x14ac:dyDescent="0.2">
      <c r="A234" s="243" t="s">
        <v>30</v>
      </c>
      <c r="B234" s="216" t="s">
        <v>245</v>
      </c>
      <c r="C234" s="243" t="str">
        <f>VLOOKUP(B234,INSUMOS!$A:$I,2,FALSE)</f>
        <v>SINAPI</v>
      </c>
      <c r="D234" s="243" t="str">
        <f>VLOOKUP(B234,INSUMOS!$A:$I,3,FALSE)</f>
        <v>FERRAMENTAS - FAMILIA ENGENHEIRO CIVIL - HORISTA (ENCARGOS COMPLEMENTARES - COLETADO CAIXA)</v>
      </c>
      <c r="E234" s="281" t="str">
        <f>VLOOKUP(B234,INSUMOS!$A:$I,4,FALSE)</f>
        <v>Equipamento</v>
      </c>
      <c r="F234" s="281"/>
      <c r="G234" s="215" t="str">
        <f>VLOOKUP(B234,INSUMOS!$A:$I,5,FALSE)</f>
        <v>H</v>
      </c>
      <c r="H234" s="218">
        <v>1</v>
      </c>
      <c r="I234" s="217">
        <f>VLOOKUP(B234,INSUMOS!$A:$I,8,FALSE)</f>
        <v>0.01</v>
      </c>
      <c r="J234" s="217">
        <f t="shared" si="50"/>
        <v>0.01</v>
      </c>
      <c r="L234" s="248">
        <f t="shared" si="43"/>
        <v>26</v>
      </c>
      <c r="M234" s="156">
        <f t="shared" si="44"/>
        <v>0.01</v>
      </c>
      <c r="N234" s="157" t="str">
        <f t="shared" si="45"/>
        <v/>
      </c>
      <c r="O234" s="157">
        <f t="shared" si="46"/>
        <v>0.01</v>
      </c>
      <c r="P234" s="158" t="str">
        <f t="shared" si="47"/>
        <v/>
      </c>
      <c r="Q234" s="157" t="str">
        <f t="shared" si="48"/>
        <v/>
      </c>
      <c r="R234" s="157" t="str">
        <f t="shared" si="49"/>
        <v/>
      </c>
    </row>
    <row r="235" spans="1:18" x14ac:dyDescent="0.2">
      <c r="A235" s="243" t="s">
        <v>30</v>
      </c>
      <c r="B235" s="216" t="s">
        <v>91</v>
      </c>
      <c r="C235" s="243" t="str">
        <f>VLOOKUP(B235,INSUMOS!$A:$I,2,FALSE)</f>
        <v>SINAPI</v>
      </c>
      <c r="D235" s="243" t="str">
        <f>VLOOKUP(B235,INSUMOS!$A:$I,3,FALSE)</f>
        <v>SEGURO - HORISTA (COLETADO CAIXA)</v>
      </c>
      <c r="E235" s="281" t="str">
        <f>VLOOKUP(B235,INSUMOS!$A:$I,4,FALSE)</f>
        <v>Taxas</v>
      </c>
      <c r="F235" s="281"/>
      <c r="G235" s="215" t="str">
        <f>VLOOKUP(B235,INSUMOS!$A:$I,5,FALSE)</f>
        <v>H</v>
      </c>
      <c r="H235" s="218">
        <v>1</v>
      </c>
      <c r="I235" s="217">
        <f>VLOOKUP(B235,INSUMOS!$A:$I,8,FALSE)</f>
        <v>7.0000000000000007E-2</v>
      </c>
      <c r="J235" s="217">
        <f t="shared" si="50"/>
        <v>7.0000000000000007E-2</v>
      </c>
      <c r="L235" s="248">
        <f t="shared" si="43"/>
        <v>26</v>
      </c>
      <c r="M235" s="156">
        <f t="shared" si="44"/>
        <v>7.0000000000000007E-2</v>
      </c>
      <c r="N235" s="157" t="str">
        <f t="shared" si="45"/>
        <v/>
      </c>
      <c r="O235" s="157">
        <f t="shared" si="46"/>
        <v>7.0000000000000007E-2</v>
      </c>
      <c r="P235" s="158" t="str">
        <f t="shared" si="47"/>
        <v/>
      </c>
      <c r="Q235" s="157" t="str">
        <f t="shared" si="48"/>
        <v/>
      </c>
      <c r="R235" s="157" t="str">
        <f t="shared" si="49"/>
        <v/>
      </c>
    </row>
    <row r="236" spans="1:18" x14ac:dyDescent="0.2">
      <c r="A236" s="246"/>
      <c r="B236" s="246"/>
      <c r="C236" s="246"/>
      <c r="D236" s="246"/>
      <c r="E236" s="246"/>
      <c r="F236" s="222"/>
      <c r="G236" s="246"/>
      <c r="H236" s="222"/>
      <c r="I236" s="246"/>
      <c r="J236" s="222"/>
      <c r="L236" s="248">
        <f t="shared" si="43"/>
        <v>26</v>
      </c>
      <c r="M236" s="156" t="str">
        <f t="shared" si="44"/>
        <v/>
      </c>
      <c r="N236" s="157" t="str">
        <f t="shared" si="45"/>
        <v/>
      </c>
      <c r="O236" s="157" t="str">
        <f t="shared" si="46"/>
        <v/>
      </c>
      <c r="P236" s="158" t="str">
        <f t="shared" si="47"/>
        <v/>
      </c>
      <c r="Q236" s="157" t="str">
        <f t="shared" si="48"/>
        <v/>
      </c>
      <c r="R236" s="157" t="str">
        <f t="shared" si="49"/>
        <v/>
      </c>
    </row>
    <row r="237" spans="1:18" x14ac:dyDescent="0.2">
      <c r="A237" s="246"/>
      <c r="B237" s="246"/>
      <c r="C237" s="246"/>
      <c r="D237" s="246"/>
      <c r="E237" s="246"/>
      <c r="F237" s="222"/>
      <c r="G237" s="246"/>
      <c r="H237" s="282" t="s">
        <v>39</v>
      </c>
      <c r="I237" s="282"/>
      <c r="J237" s="222">
        <f>TRUNC(SUMIF(L:L,$L237,M:M)*(1+$J$9),2)</f>
        <v>154.41999999999999</v>
      </c>
      <c r="L237" s="248">
        <f t="shared" si="43"/>
        <v>26</v>
      </c>
      <c r="M237" s="156" t="str">
        <f t="shared" si="44"/>
        <v/>
      </c>
      <c r="N237" s="157" t="str">
        <f t="shared" si="45"/>
        <v/>
      </c>
      <c r="O237" s="157" t="str">
        <f t="shared" si="46"/>
        <v/>
      </c>
      <c r="P237" s="158" t="str">
        <f t="shared" si="47"/>
        <v/>
      </c>
      <c r="Q237" s="157" t="str">
        <f t="shared" si="48"/>
        <v/>
      </c>
      <c r="R237" s="157" t="str">
        <f t="shared" si="49"/>
        <v/>
      </c>
    </row>
    <row r="238" spans="1:18" ht="25.5" x14ac:dyDescent="0.2">
      <c r="A238" s="219"/>
      <c r="B238" s="219"/>
      <c r="C238" s="219"/>
      <c r="D238" s="219"/>
      <c r="E238" s="219"/>
      <c r="F238" s="219"/>
      <c r="G238" s="219" t="s">
        <v>40</v>
      </c>
      <c r="H238" s="221">
        <v>48</v>
      </c>
      <c r="I238" s="219" t="s">
        <v>41</v>
      </c>
      <c r="J238" s="220">
        <f>TRUNC(J237*H238,2)</f>
        <v>7412.16</v>
      </c>
      <c r="L238" s="248">
        <f t="shared" si="43"/>
        <v>26</v>
      </c>
      <c r="M238" s="156" t="str">
        <f t="shared" si="44"/>
        <v/>
      </c>
      <c r="N238" s="157" t="str">
        <f t="shared" si="45"/>
        <v/>
      </c>
      <c r="O238" s="157" t="str">
        <f t="shared" si="46"/>
        <v/>
      </c>
      <c r="P238" s="158" t="str">
        <f t="shared" si="47"/>
        <v/>
      </c>
      <c r="Q238" s="157" t="str">
        <f t="shared" si="48"/>
        <v/>
      </c>
      <c r="R238" s="157" t="str">
        <f t="shared" si="49"/>
        <v/>
      </c>
    </row>
  </sheetData>
  <sheetProtection algorithmName="SHA-512" hashValue="+ixrNB3V/ehhTCAx+HsVxaMkPvCWzMijVvFxFTG3haUjd9KobmX0X0lzcgR+2pPSPidxieX1Bmr+YvsC8FR7mA==" saltValue="+ivcRtepSIkZ1tRc/+L8+Q==" spinCount="100000" sheet="1" objects="1" scenarios="1"/>
  <mergeCells count="194">
    <mergeCell ref="E10:I10"/>
    <mergeCell ref="E207:F207"/>
    <mergeCell ref="E208:F208"/>
    <mergeCell ref="E209:F209"/>
    <mergeCell ref="E219:F219"/>
    <mergeCell ref="E220:F220"/>
    <mergeCell ref="E221:F221"/>
    <mergeCell ref="E225:F225"/>
    <mergeCell ref="H227:I227"/>
    <mergeCell ref="H140:I140"/>
    <mergeCell ref="E144:F144"/>
    <mergeCell ref="H146:I146"/>
    <mergeCell ref="H152:I152"/>
    <mergeCell ref="H164:I164"/>
    <mergeCell ref="E166:F166"/>
    <mergeCell ref="E167:F167"/>
    <mergeCell ref="H175:I175"/>
    <mergeCell ref="E177:F177"/>
    <mergeCell ref="H79:I79"/>
    <mergeCell ref="E87:F87"/>
    <mergeCell ref="E88:F88"/>
    <mergeCell ref="E89:F89"/>
    <mergeCell ref="H92:I92"/>
    <mergeCell ref="E94:F94"/>
    <mergeCell ref="H55:I55"/>
    <mergeCell ref="H61:I61"/>
    <mergeCell ref="E63:F63"/>
    <mergeCell ref="E64:F64"/>
    <mergeCell ref="E65:F65"/>
    <mergeCell ref="H67:I67"/>
    <mergeCell ref="H73:I73"/>
    <mergeCell ref="E76:F76"/>
    <mergeCell ref="E77:F77"/>
    <mergeCell ref="X17:Y17"/>
    <mergeCell ref="E28:F28"/>
    <mergeCell ref="E29:F29"/>
    <mergeCell ref="E30:F30"/>
    <mergeCell ref="E31:F31"/>
    <mergeCell ref="H110:I110"/>
    <mergeCell ref="E97:F97"/>
    <mergeCell ref="E98:F98"/>
    <mergeCell ref="E99:F99"/>
    <mergeCell ref="E44:F44"/>
    <mergeCell ref="E48:F48"/>
    <mergeCell ref="E49:F49"/>
    <mergeCell ref="E34:F34"/>
    <mergeCell ref="E35:F35"/>
    <mergeCell ref="E36:F36"/>
    <mergeCell ref="H39:I39"/>
    <mergeCell ref="E22:F22"/>
    <mergeCell ref="E23:F23"/>
    <mergeCell ref="E24:F24"/>
    <mergeCell ref="E33:F33"/>
    <mergeCell ref="E37:F37"/>
    <mergeCell ref="E41:F41"/>
    <mergeCell ref="E51:F51"/>
    <mergeCell ref="E52:F52"/>
    <mergeCell ref="X16:Y16"/>
    <mergeCell ref="H128:I128"/>
    <mergeCell ref="E130:F130"/>
    <mergeCell ref="E131:F131"/>
    <mergeCell ref="E132:F132"/>
    <mergeCell ref="E113:F113"/>
    <mergeCell ref="E114:F114"/>
    <mergeCell ref="H116:I116"/>
    <mergeCell ref="E118:F118"/>
    <mergeCell ref="E119:F119"/>
    <mergeCell ref="E120:F120"/>
    <mergeCell ref="H122:I122"/>
    <mergeCell ref="E124:F124"/>
    <mergeCell ref="E125:F125"/>
    <mergeCell ref="E126:F126"/>
    <mergeCell ref="E81:F81"/>
    <mergeCell ref="E82:F82"/>
    <mergeCell ref="E58:F58"/>
    <mergeCell ref="E59:F59"/>
    <mergeCell ref="X18:Y18"/>
    <mergeCell ref="X19:Y19"/>
    <mergeCell ref="H26:I26"/>
    <mergeCell ref="E32:F32"/>
    <mergeCell ref="E21:F21"/>
    <mergeCell ref="E9:I9"/>
    <mergeCell ref="E11:I11"/>
    <mergeCell ref="E13:F13"/>
    <mergeCell ref="A14:J14"/>
    <mergeCell ref="A12:J12"/>
    <mergeCell ref="E160:F160"/>
    <mergeCell ref="E161:F161"/>
    <mergeCell ref="E100:F100"/>
    <mergeCell ref="E101:F101"/>
    <mergeCell ref="E102:F102"/>
    <mergeCell ref="E112:F112"/>
    <mergeCell ref="E138:F138"/>
    <mergeCell ref="E142:F142"/>
    <mergeCell ref="E107:F107"/>
    <mergeCell ref="E42:F42"/>
    <mergeCell ref="E43:F43"/>
    <mergeCell ref="H46:I46"/>
    <mergeCell ref="E50:F50"/>
    <mergeCell ref="E15:F15"/>
    <mergeCell ref="E16:F16"/>
    <mergeCell ref="E17:F17"/>
    <mergeCell ref="E18:F18"/>
    <mergeCell ref="E19:F19"/>
    <mergeCell ref="E20:F20"/>
    <mergeCell ref="P1:Q1"/>
    <mergeCell ref="W1:X1"/>
    <mergeCell ref="A1:J1"/>
    <mergeCell ref="A2:J2"/>
    <mergeCell ref="A3:J3"/>
    <mergeCell ref="A4:J4"/>
    <mergeCell ref="A5:J5"/>
    <mergeCell ref="A6:J6"/>
    <mergeCell ref="E8:I8"/>
    <mergeCell ref="P3:Q3"/>
    <mergeCell ref="P5:Q5"/>
    <mergeCell ref="E235:F235"/>
    <mergeCell ref="E223:F223"/>
    <mergeCell ref="E224:F224"/>
    <mergeCell ref="E228:F228"/>
    <mergeCell ref="E231:F231"/>
    <mergeCell ref="E232:F232"/>
    <mergeCell ref="E233:F233"/>
    <mergeCell ref="H237:I237"/>
    <mergeCell ref="E210:F210"/>
    <mergeCell ref="E211:F211"/>
    <mergeCell ref="E212:F212"/>
    <mergeCell ref="H214:I214"/>
    <mergeCell ref="E229:F229"/>
    <mergeCell ref="E230:F230"/>
    <mergeCell ref="E234:F234"/>
    <mergeCell ref="E222:F222"/>
    <mergeCell ref="E182:F182"/>
    <mergeCell ref="E186:F186"/>
    <mergeCell ref="E192:F192"/>
    <mergeCell ref="E206:F206"/>
    <mergeCell ref="E183:F183"/>
    <mergeCell ref="E184:F184"/>
    <mergeCell ref="E185:F185"/>
    <mergeCell ref="H188:I188"/>
    <mergeCell ref="E190:F190"/>
    <mergeCell ref="E191:F191"/>
    <mergeCell ref="E195:F195"/>
    <mergeCell ref="E196:F196"/>
    <mergeCell ref="E197:F197"/>
    <mergeCell ref="H201:I201"/>
    <mergeCell ref="E203:F203"/>
    <mergeCell ref="E169:F169"/>
    <mergeCell ref="E148:F148"/>
    <mergeCell ref="E149:F149"/>
    <mergeCell ref="E150:F150"/>
    <mergeCell ref="E156:F156"/>
    <mergeCell ref="E168:F168"/>
    <mergeCell ref="E136:F136"/>
    <mergeCell ref="E137:F137"/>
    <mergeCell ref="E181:F181"/>
    <mergeCell ref="E53:F53"/>
    <mergeCell ref="E194:F194"/>
    <mergeCell ref="E198:F198"/>
    <mergeCell ref="E199:F199"/>
    <mergeCell ref="E204:F204"/>
    <mergeCell ref="E205:F205"/>
    <mergeCell ref="E216:F216"/>
    <mergeCell ref="E217:F217"/>
    <mergeCell ref="E218:F218"/>
    <mergeCell ref="E57:F57"/>
    <mergeCell ref="E143:F143"/>
    <mergeCell ref="E193:F193"/>
    <mergeCell ref="E154:F154"/>
    <mergeCell ref="E155:F155"/>
    <mergeCell ref="E170:F170"/>
    <mergeCell ref="E171:F171"/>
    <mergeCell ref="E172:F172"/>
    <mergeCell ref="E173:F173"/>
    <mergeCell ref="E180:F180"/>
    <mergeCell ref="E178:F178"/>
    <mergeCell ref="E179:F179"/>
    <mergeCell ref="E108:F108"/>
    <mergeCell ref="E85:F85"/>
    <mergeCell ref="E86:F86"/>
    <mergeCell ref="H158:I158"/>
    <mergeCell ref="E162:F162"/>
    <mergeCell ref="E75:F75"/>
    <mergeCell ref="H104:I104"/>
    <mergeCell ref="E106:F106"/>
    <mergeCell ref="E90:F90"/>
    <mergeCell ref="E69:F69"/>
    <mergeCell ref="E70:F70"/>
    <mergeCell ref="E71:F71"/>
    <mergeCell ref="E83:F83"/>
    <mergeCell ref="E84:F84"/>
    <mergeCell ref="E95:F95"/>
    <mergeCell ref="E96:F96"/>
    <mergeCell ref="H134:I134"/>
  </mergeCells>
  <conditionalFormatting sqref="P1">
    <cfRule type="dataBar" priority="4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{2BA0BF01-11BD-45CB-95F0-4523757D78E1}</x14:id>
        </ext>
      </extLst>
    </cfRule>
  </conditionalFormatting>
  <conditionalFormatting sqref="P3">
    <cfRule type="dataBar" priority="3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{EB8C104E-D622-4498-A449-13F33E3F8106}</x14:id>
        </ext>
      </extLst>
    </cfRule>
  </conditionalFormatting>
  <conditionalFormatting sqref="P5">
    <cfRule type="dataBar" priority="2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{ABB8B5AD-21CA-42DE-8A37-AAC8B7DB62D9}</x14:id>
        </ext>
      </extLst>
    </cfRule>
  </conditionalFormatting>
  <conditionalFormatting sqref="W1">
    <cfRule type="dataBar" priority="1">
      <dataBar>
        <cfvo type="num" val="0"/>
        <cfvo type="num" val="1"/>
        <color rgb="FF638EC6"/>
      </dataBar>
      <extLst>
        <ext xmlns:x14="http://schemas.microsoft.com/office/spreadsheetml/2009/9/main" uri="{B025F937-C7B1-47D3-B67F-A62EFF666E3E}">
          <x14:id>{D1241D16-220B-41AA-843B-B52DFBF5B094}</x14:id>
        </ext>
      </extLst>
    </cfRule>
  </conditionalFormatting>
  <pageMargins left="0.78740157480314965" right="0.78740157480314965" top="0.78740157480314965" bottom="0.78740157480314965" header="0.31496062992125984" footer="0.51181102362204722"/>
  <pageSetup paperSize="9" scale="46" orientation="portrait" r:id="rId1"/>
  <headerFooter>
    <oddFooter>&amp;R&amp;P de &amp;N</oddFooter>
  </headerFooter>
  <ignoredErrors>
    <ignoredError sqref="U16" numberStoredAsText="1"/>
  </ignoredErrors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2BA0BF01-11BD-45CB-95F0-4523757D78E1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P1</xm:sqref>
        </x14:conditionalFormatting>
        <x14:conditionalFormatting xmlns:xm="http://schemas.microsoft.com/office/excel/2006/main">
          <x14:cfRule type="dataBar" id="{EB8C104E-D622-4498-A449-13F33E3F8106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P3</xm:sqref>
        </x14:conditionalFormatting>
        <x14:conditionalFormatting xmlns:xm="http://schemas.microsoft.com/office/excel/2006/main">
          <x14:cfRule type="dataBar" id="{ABB8B5AD-21CA-42DE-8A37-AAC8B7DB62D9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P5</xm:sqref>
        </x14:conditionalFormatting>
        <x14:conditionalFormatting xmlns:xm="http://schemas.microsoft.com/office/excel/2006/main">
          <x14:cfRule type="dataBar" id="{D1241D16-220B-41AA-843B-B52DFBF5B094}">
            <x14:dataBar minLength="0" maxLength="100" border="1" gradient="0" negativeBarBorderColorSameAsPositive="0">
              <x14:cfvo type="num">
                <xm:f>0</xm:f>
              </x14:cfvo>
              <x14:cfvo type="num">
                <xm:f>1</xm:f>
              </x14:cfvo>
              <x14:borderColor rgb="FF638EC6"/>
              <x14:negativeFillColor rgb="FFFF0000"/>
              <x14:negativeBorderColor rgb="FFFF0000"/>
              <x14:axisColor rgb="FF000000"/>
            </x14:dataBar>
          </x14:cfRule>
          <xm:sqref>W1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ilha5"/>
  <dimension ref="A1:K86"/>
  <sheetViews>
    <sheetView showOutlineSymbols="0" showWhiteSpace="0" view="pageBreakPreview" zoomScaleNormal="100" zoomScaleSheetLayoutView="100" workbookViewId="0">
      <selection activeCell="N13" sqref="N13"/>
    </sheetView>
  </sheetViews>
  <sheetFormatPr defaultRowHeight="14.25" x14ac:dyDescent="0.2"/>
  <cols>
    <col min="1" max="2" width="14.625" customWidth="1"/>
    <col min="3" max="3" width="60.625" customWidth="1"/>
    <col min="4" max="4" width="16.625" style="190" customWidth="1"/>
    <col min="5" max="5" width="10.625" style="190" customWidth="1"/>
    <col min="6" max="6" width="12.625" style="201" customWidth="1"/>
    <col min="7" max="7" width="15.625" style="190" customWidth="1"/>
    <col min="8" max="8" width="15.625" customWidth="1"/>
    <col min="9" max="9" width="13" bestFit="1" customWidth="1"/>
    <col min="11" max="11" width="11.125" style="140" bestFit="1" customWidth="1"/>
  </cols>
  <sheetData>
    <row r="1" spans="1:11" s="6" customFormat="1" ht="15" customHeight="1" x14ac:dyDescent="0.2">
      <c r="A1" s="307"/>
      <c r="B1" s="307"/>
      <c r="C1" s="307"/>
      <c r="D1" s="307"/>
      <c r="E1" s="307"/>
      <c r="F1" s="307"/>
      <c r="G1" s="307"/>
      <c r="H1" s="307"/>
      <c r="I1" s="307"/>
      <c r="K1" s="140"/>
    </row>
    <row r="2" spans="1:11" s="6" customFormat="1" ht="15" customHeight="1" x14ac:dyDescent="0.25">
      <c r="A2" s="308" t="str">
        <f>'ANALÍTICA AUXILIARES'!A2:J2</f>
        <v>PROCURADORIA GERAL DA REPÚBLICA</v>
      </c>
      <c r="B2" s="308"/>
      <c r="C2" s="308"/>
      <c r="D2" s="308"/>
      <c r="E2" s="308"/>
      <c r="F2" s="308"/>
      <c r="G2" s="308"/>
      <c r="H2" s="308"/>
      <c r="I2" s="308"/>
      <c r="K2" s="140"/>
    </row>
    <row r="3" spans="1:11" s="6" customFormat="1" ht="15" customHeight="1" x14ac:dyDescent="0.25">
      <c r="A3" s="308" t="str">
        <f>'ANALÍTICA AUXILIARES'!A3:J3</f>
        <v>SECRETARIA DE ENGENHARIA E ARQUITETURA</v>
      </c>
      <c r="B3" s="308"/>
      <c r="C3" s="308"/>
      <c r="D3" s="308"/>
      <c r="E3" s="308"/>
      <c r="F3" s="308"/>
      <c r="G3" s="308"/>
      <c r="H3" s="308"/>
      <c r="I3" s="308"/>
      <c r="K3" s="140"/>
    </row>
    <row r="4" spans="1:11" s="6" customFormat="1" ht="15" customHeight="1" x14ac:dyDescent="0.2">
      <c r="A4" s="307"/>
      <c r="B4" s="307"/>
      <c r="C4" s="307"/>
      <c r="D4" s="307"/>
      <c r="E4" s="307"/>
      <c r="F4" s="307"/>
      <c r="G4" s="307"/>
      <c r="H4" s="307"/>
      <c r="I4" s="307"/>
      <c r="K4" s="140"/>
    </row>
    <row r="5" spans="1:11" s="6" customFormat="1" ht="15" customHeight="1" x14ac:dyDescent="0.25">
      <c r="A5" s="308" t="str">
        <f>'ANALÍTICA AUXILIARES'!A5:J5</f>
        <v>OBRA: INSTALAÇÃO DE MICROGERAÇÃO DISTRIBUIDA NA PRM-SANTAREM / PA / MPF</v>
      </c>
      <c r="B5" s="308"/>
      <c r="C5" s="308"/>
      <c r="D5" s="308"/>
      <c r="E5" s="308"/>
      <c r="F5" s="308"/>
      <c r="G5" s="308"/>
      <c r="H5" s="308"/>
      <c r="I5" s="308"/>
      <c r="K5" s="140"/>
    </row>
    <row r="6" spans="1:11" s="72" customFormat="1" ht="30" customHeight="1" x14ac:dyDescent="0.2">
      <c r="A6" s="280" t="s">
        <v>181</v>
      </c>
      <c r="B6" s="280"/>
      <c r="C6" s="280"/>
      <c r="D6" s="280"/>
      <c r="E6" s="280"/>
      <c r="F6" s="280"/>
      <c r="G6" s="280"/>
      <c r="H6" s="280"/>
      <c r="I6" s="280"/>
      <c r="K6" s="141"/>
    </row>
    <row r="7" spans="1:11" s="6" customFormat="1" ht="15" customHeight="1" x14ac:dyDescent="0.2">
      <c r="A7" s="307" t="str">
        <f>SINTÉTICA!E11</f>
        <v>REFERÊNCIA: SINAPI - PA - OUTUBRO/19 (NÃO DESONERADA)</v>
      </c>
      <c r="B7" s="307"/>
      <c r="C7" s="307"/>
      <c r="D7" s="307"/>
      <c r="E7" s="307"/>
      <c r="F7" s="307"/>
      <c r="G7" s="307"/>
      <c r="H7" s="307"/>
      <c r="I7" s="307"/>
      <c r="K7" s="140"/>
    </row>
    <row r="8" spans="1:11" s="6" customFormat="1" ht="15" customHeight="1" x14ac:dyDescent="0.2">
      <c r="A8" s="296"/>
      <c r="B8" s="296"/>
      <c r="C8" s="296"/>
      <c r="D8" s="296"/>
      <c r="E8" s="296"/>
      <c r="F8" s="296"/>
      <c r="G8" s="296"/>
      <c r="H8" s="296"/>
      <c r="I8" s="296"/>
      <c r="K8" s="140"/>
    </row>
    <row r="9" spans="1:11" s="6" customFormat="1" ht="38.25" x14ac:dyDescent="0.2">
      <c r="A9" s="85" t="s">
        <v>156</v>
      </c>
      <c r="B9" s="85" t="s">
        <v>157</v>
      </c>
      <c r="C9" s="85" t="s">
        <v>146</v>
      </c>
      <c r="D9" s="85" t="s">
        <v>172</v>
      </c>
      <c r="E9" s="85" t="s">
        <v>158</v>
      </c>
      <c r="F9" s="200" t="s">
        <v>159</v>
      </c>
      <c r="G9" s="85" t="s">
        <v>189</v>
      </c>
      <c r="H9" s="85" t="s">
        <v>185</v>
      </c>
      <c r="I9" s="85" t="s">
        <v>173</v>
      </c>
      <c r="K9" s="140"/>
    </row>
    <row r="10" spans="1:11" s="6" customFormat="1" ht="15" customHeight="1" x14ac:dyDescent="0.2">
      <c r="A10" s="297"/>
      <c r="B10" s="297"/>
      <c r="C10" s="297"/>
      <c r="D10" s="297"/>
      <c r="E10" s="297"/>
      <c r="F10" s="297"/>
      <c r="G10" s="297"/>
      <c r="H10" s="297"/>
      <c r="I10" s="297"/>
      <c r="K10" s="140"/>
    </row>
    <row r="11" spans="1:11" ht="25.5" x14ac:dyDescent="0.2">
      <c r="A11" s="233" t="s">
        <v>289</v>
      </c>
      <c r="B11" s="234" t="s">
        <v>11</v>
      </c>
      <c r="C11" s="234" t="s">
        <v>290</v>
      </c>
      <c r="D11" s="234" t="s">
        <v>43</v>
      </c>
      <c r="E11" s="235" t="s">
        <v>291</v>
      </c>
      <c r="F11" s="233" t="s">
        <v>231</v>
      </c>
      <c r="G11" s="233" t="s">
        <v>507</v>
      </c>
      <c r="H11" s="232">
        <f>TRUNC(G11*(1-(SINTÉTICA!$I$58)),2)</f>
        <v>699</v>
      </c>
      <c r="I11" s="227">
        <f>F11*H11/(SUM($K$11:$K1384))</f>
        <v>0.50837451718147753</v>
      </c>
      <c r="K11" s="142">
        <f>F11*H11</f>
        <v>145392</v>
      </c>
    </row>
    <row r="12" spans="1:11" ht="25.5" x14ac:dyDescent="0.2">
      <c r="A12" s="233" t="s">
        <v>292</v>
      </c>
      <c r="B12" s="234" t="s">
        <v>11</v>
      </c>
      <c r="C12" s="234" t="s">
        <v>293</v>
      </c>
      <c r="D12" s="234" t="s">
        <v>43</v>
      </c>
      <c r="E12" s="235" t="s">
        <v>291</v>
      </c>
      <c r="F12" s="233" t="s">
        <v>198</v>
      </c>
      <c r="G12" s="233" t="s">
        <v>508</v>
      </c>
      <c r="H12" s="232">
        <f>TRUNC(G12*(1-(SINTÉTICA!$I$58)),2)</f>
        <v>27500</v>
      </c>
      <c r="I12" s="227">
        <f>F12*H12/(SUM($K$11:$K1385))</f>
        <v>0.19231180838685255</v>
      </c>
      <c r="K12" s="142">
        <f t="shared" ref="K12:K75" si="0">F12*H12</f>
        <v>55000</v>
      </c>
    </row>
    <row r="13" spans="1:11" ht="25.5" x14ac:dyDescent="0.2">
      <c r="A13" s="233" t="s">
        <v>294</v>
      </c>
      <c r="B13" s="234" t="s">
        <v>11</v>
      </c>
      <c r="C13" s="234" t="s">
        <v>295</v>
      </c>
      <c r="D13" s="234" t="s">
        <v>32</v>
      </c>
      <c r="E13" s="235" t="s">
        <v>291</v>
      </c>
      <c r="F13" s="233" t="s">
        <v>214</v>
      </c>
      <c r="G13" s="233" t="s">
        <v>509</v>
      </c>
      <c r="H13" s="232">
        <f>TRUNC(G13*(1-(SINTÉTICA!$I$58)),2)</f>
        <v>428</v>
      </c>
      <c r="I13" s="227">
        <f>F13*H13/(SUM($K$11:$K1386))</f>
        <v>7.781984740832347E-2</v>
      </c>
      <c r="K13" s="142">
        <f t="shared" si="0"/>
        <v>22256</v>
      </c>
    </row>
    <row r="14" spans="1:11" ht="25.5" x14ac:dyDescent="0.2">
      <c r="A14" s="236" t="s">
        <v>296</v>
      </c>
      <c r="B14" s="237" t="s">
        <v>11</v>
      </c>
      <c r="C14" s="237" t="s">
        <v>297</v>
      </c>
      <c r="D14" s="237" t="s">
        <v>32</v>
      </c>
      <c r="E14" s="238" t="s">
        <v>298</v>
      </c>
      <c r="F14" s="236" t="s">
        <v>299</v>
      </c>
      <c r="G14" s="236" t="s">
        <v>510</v>
      </c>
      <c r="H14" s="232">
        <f>TRUNC(G14*(1-(SINTÉTICA!$I$58)),2)</f>
        <v>7.9</v>
      </c>
      <c r="I14" s="251">
        <f>F14*H14/(SUM($K$11:$K1387))</f>
        <v>3.8393716851511411E-2</v>
      </c>
      <c r="K14" s="142">
        <f t="shared" si="0"/>
        <v>10980.368</v>
      </c>
    </row>
    <row r="15" spans="1:11" x14ac:dyDescent="0.2">
      <c r="A15" s="236" t="s">
        <v>196</v>
      </c>
      <c r="B15" s="237" t="s">
        <v>8</v>
      </c>
      <c r="C15" s="237" t="s">
        <v>197</v>
      </c>
      <c r="D15" s="237" t="s">
        <v>50</v>
      </c>
      <c r="E15" s="238" t="s">
        <v>27</v>
      </c>
      <c r="F15" s="236" t="s">
        <v>300</v>
      </c>
      <c r="G15" s="236" t="s">
        <v>511</v>
      </c>
      <c r="H15" s="232">
        <f>TRUNC(G15*(1-(SINTÉTICA!$I$58)),2)</f>
        <v>122.47</v>
      </c>
      <c r="I15" s="251">
        <f>F15*H15/(SUM($K$11:$K1388))</f>
        <v>2.805051253725856E-2</v>
      </c>
      <c r="K15" s="142">
        <f t="shared" si="0"/>
        <v>8022.2748800000008</v>
      </c>
    </row>
    <row r="16" spans="1:11" ht="25.5" x14ac:dyDescent="0.2">
      <c r="A16" s="236" t="s">
        <v>301</v>
      </c>
      <c r="B16" s="237" t="s">
        <v>11</v>
      </c>
      <c r="C16" s="237" t="s">
        <v>302</v>
      </c>
      <c r="D16" s="237" t="s">
        <v>43</v>
      </c>
      <c r="E16" s="238" t="s">
        <v>291</v>
      </c>
      <c r="F16" s="236" t="s">
        <v>221</v>
      </c>
      <c r="G16" s="236" t="s">
        <v>512</v>
      </c>
      <c r="H16" s="232">
        <f>TRUNC(G16*(1-(SINTÉTICA!$I$58)),2)</f>
        <v>899</v>
      </c>
      <c r="I16" s="251">
        <f>F16*H16/(SUM($K$11:$K1389))</f>
        <v>2.5147391380331702E-2</v>
      </c>
      <c r="K16" s="142">
        <f t="shared" si="0"/>
        <v>7192</v>
      </c>
    </row>
    <row r="17" spans="1:11" x14ac:dyDescent="0.2">
      <c r="A17" s="236" t="s">
        <v>191</v>
      </c>
      <c r="B17" s="237" t="s">
        <v>8</v>
      </c>
      <c r="C17" s="237" t="s">
        <v>192</v>
      </c>
      <c r="D17" s="237" t="s">
        <v>50</v>
      </c>
      <c r="E17" s="238" t="s">
        <v>27</v>
      </c>
      <c r="F17" s="236" t="s">
        <v>303</v>
      </c>
      <c r="G17" s="236" t="s">
        <v>513</v>
      </c>
      <c r="H17" s="232">
        <f>TRUNC(G17*(1-(SINTÉTICA!$I$58)),2)</f>
        <v>15.13</v>
      </c>
      <c r="I17" s="251">
        <f>F17*H17/(SUM($K$11:$K1390))</f>
        <v>1.8235907518057714E-2</v>
      </c>
      <c r="K17" s="142">
        <f t="shared" si="0"/>
        <v>5215.3579226690008</v>
      </c>
    </row>
    <row r="18" spans="1:11" x14ac:dyDescent="0.2">
      <c r="A18" s="236" t="s">
        <v>282</v>
      </c>
      <c r="B18" s="237" t="s">
        <v>8</v>
      </c>
      <c r="C18" s="237" t="s">
        <v>283</v>
      </c>
      <c r="D18" s="237" t="s">
        <v>50</v>
      </c>
      <c r="E18" s="238" t="s">
        <v>27</v>
      </c>
      <c r="F18" s="236" t="s">
        <v>304</v>
      </c>
      <c r="G18" s="236" t="s">
        <v>514</v>
      </c>
      <c r="H18" s="232">
        <f>TRUNC(G18*(1-(SINTÉTICA!$I$58)),2)</f>
        <v>17.43</v>
      </c>
      <c r="I18" s="251">
        <f>F18*H18/(SUM($K$11:$K1391))</f>
        <v>1.4938439170266479E-2</v>
      </c>
      <c r="K18" s="142">
        <f t="shared" si="0"/>
        <v>4272.3021600000002</v>
      </c>
    </row>
    <row r="19" spans="1:11" x14ac:dyDescent="0.2">
      <c r="A19" s="236" t="s">
        <v>193</v>
      </c>
      <c r="B19" s="237" t="s">
        <v>8</v>
      </c>
      <c r="C19" s="237" t="s">
        <v>194</v>
      </c>
      <c r="D19" s="237" t="s">
        <v>50</v>
      </c>
      <c r="E19" s="238" t="s">
        <v>27</v>
      </c>
      <c r="F19" s="236" t="s">
        <v>303</v>
      </c>
      <c r="G19" s="236" t="s">
        <v>515</v>
      </c>
      <c r="H19" s="232">
        <f>TRUNC(G19*(1-(SINTÉTICA!$I$58)),2)</f>
        <v>10.64</v>
      </c>
      <c r="I19" s="251">
        <f>F19*H19/(SUM($K$11:$K1392))</f>
        <v>1.2824194051033315E-2</v>
      </c>
      <c r="K19" s="142">
        <f t="shared" si="0"/>
        <v>3667.6409978320003</v>
      </c>
    </row>
    <row r="20" spans="1:11" x14ac:dyDescent="0.2">
      <c r="A20" s="236" t="s">
        <v>305</v>
      </c>
      <c r="B20" s="237" t="s">
        <v>8</v>
      </c>
      <c r="C20" s="237" t="s">
        <v>306</v>
      </c>
      <c r="D20" s="237" t="s">
        <v>32</v>
      </c>
      <c r="E20" s="238" t="s">
        <v>14</v>
      </c>
      <c r="F20" s="236" t="s">
        <v>307</v>
      </c>
      <c r="G20" s="236" t="s">
        <v>516</v>
      </c>
      <c r="H20" s="232">
        <f>TRUNC(G20*(1-(SINTÉTICA!$I$58)),2)</f>
        <v>13.2</v>
      </c>
      <c r="I20" s="251">
        <f>F20*H20/(SUM($K$11:$K1393))</f>
        <v>8.7094171782237783E-3</v>
      </c>
      <c r="K20" s="142">
        <f t="shared" si="0"/>
        <v>2490.8399999999997</v>
      </c>
    </row>
    <row r="21" spans="1:11" x14ac:dyDescent="0.2">
      <c r="A21" s="236" t="s">
        <v>87</v>
      </c>
      <c r="B21" s="237" t="s">
        <v>8</v>
      </c>
      <c r="C21" s="237" t="s">
        <v>308</v>
      </c>
      <c r="D21" s="237" t="s">
        <v>51</v>
      </c>
      <c r="E21" s="238" t="s">
        <v>27</v>
      </c>
      <c r="F21" s="236" t="s">
        <v>309</v>
      </c>
      <c r="G21" s="236" t="s">
        <v>517</v>
      </c>
      <c r="H21" s="232">
        <f>TRUNC(G21*(1-(SINTÉTICA!$I$58)),2)</f>
        <v>2.1800000000000002</v>
      </c>
      <c r="I21" s="251">
        <f>F21*H21/(SUM($K$11:$K1394))</f>
        <v>7.7825647308683412E-3</v>
      </c>
      <c r="K21" s="142">
        <f t="shared" si="0"/>
        <v>2225.7658736000003</v>
      </c>
    </row>
    <row r="22" spans="1:11" ht="25.5" x14ac:dyDescent="0.2">
      <c r="A22" s="236" t="s">
        <v>310</v>
      </c>
      <c r="B22" s="237" t="s">
        <v>8</v>
      </c>
      <c r="C22" s="237" t="s">
        <v>311</v>
      </c>
      <c r="D22" s="237" t="s">
        <v>32</v>
      </c>
      <c r="E22" s="238" t="s">
        <v>12</v>
      </c>
      <c r="F22" s="236" t="s">
        <v>312</v>
      </c>
      <c r="G22" s="236" t="s">
        <v>518</v>
      </c>
      <c r="H22" s="232">
        <f>TRUNC(G22*(1-(SINTÉTICA!$I$58)),2)</f>
        <v>43.07</v>
      </c>
      <c r="I22" s="251">
        <f>F22*H22/(SUM($K$11:$K1395))</f>
        <v>7.5298814429288537E-3</v>
      </c>
      <c r="K22" s="142">
        <f t="shared" si="0"/>
        <v>2153.5</v>
      </c>
    </row>
    <row r="23" spans="1:11" x14ac:dyDescent="0.2">
      <c r="A23" s="236" t="s">
        <v>225</v>
      </c>
      <c r="B23" s="237" t="s">
        <v>8</v>
      </c>
      <c r="C23" s="237" t="s">
        <v>226</v>
      </c>
      <c r="D23" s="237" t="s">
        <v>32</v>
      </c>
      <c r="E23" s="238" t="s">
        <v>14</v>
      </c>
      <c r="F23" s="236" t="s">
        <v>313</v>
      </c>
      <c r="G23" s="236" t="s">
        <v>519</v>
      </c>
      <c r="H23" s="232">
        <f>TRUNC(G23*(1-(SINTÉTICA!$I$58)),2)</f>
        <v>8.5500000000000007</v>
      </c>
      <c r="I23" s="251">
        <f>F23*H23/(SUM($K$11:$K1396))</f>
        <v>7.461977891676623E-3</v>
      </c>
      <c r="K23" s="142">
        <f t="shared" si="0"/>
        <v>2134.08</v>
      </c>
    </row>
    <row r="24" spans="1:11" ht="38.25" x14ac:dyDescent="0.2">
      <c r="A24" s="239" t="s">
        <v>314</v>
      </c>
      <c r="B24" s="240" t="s">
        <v>8</v>
      </c>
      <c r="C24" s="240" t="s">
        <v>315</v>
      </c>
      <c r="D24" s="240" t="s">
        <v>32</v>
      </c>
      <c r="E24" s="241" t="s">
        <v>14</v>
      </c>
      <c r="F24" s="239" t="s">
        <v>316</v>
      </c>
      <c r="G24" s="239" t="s">
        <v>520</v>
      </c>
      <c r="H24" s="232">
        <f>TRUNC(G24*(1-(SINTÉTICA!$I$58)),2)</f>
        <v>14.04</v>
      </c>
      <c r="I24" s="228">
        <f>F24*H24/(SUM($K$11:$K1397))</f>
        <v>4.9828339210866929E-3</v>
      </c>
      <c r="K24" s="142">
        <f t="shared" si="0"/>
        <v>1425.06</v>
      </c>
    </row>
    <row r="25" spans="1:11" ht="25.5" x14ac:dyDescent="0.2">
      <c r="A25" s="239" t="s">
        <v>317</v>
      </c>
      <c r="B25" s="240" t="s">
        <v>8</v>
      </c>
      <c r="C25" s="240" t="s">
        <v>318</v>
      </c>
      <c r="D25" s="240" t="s">
        <v>43</v>
      </c>
      <c r="E25" s="241" t="s">
        <v>13</v>
      </c>
      <c r="F25" s="239" t="s">
        <v>198</v>
      </c>
      <c r="G25" s="239" t="s">
        <v>521</v>
      </c>
      <c r="H25" s="232">
        <f>TRUNC(G25*(1-(SINTÉTICA!$I$58)),2)</f>
        <v>584.73</v>
      </c>
      <c r="I25" s="228">
        <f>F25*H25/(SUM($K$11:$K1398))</f>
        <v>4.0891084988379746E-3</v>
      </c>
      <c r="K25" s="142">
        <f t="shared" si="0"/>
        <v>1169.46</v>
      </c>
    </row>
    <row r="26" spans="1:11" ht="25.5" x14ac:dyDescent="0.2">
      <c r="A26" s="239" t="s">
        <v>319</v>
      </c>
      <c r="B26" s="240" t="s">
        <v>8</v>
      </c>
      <c r="C26" s="240" t="s">
        <v>320</v>
      </c>
      <c r="D26" s="240" t="s">
        <v>32</v>
      </c>
      <c r="E26" s="241" t="s">
        <v>12</v>
      </c>
      <c r="F26" s="239" t="s">
        <v>195</v>
      </c>
      <c r="G26" s="239" t="s">
        <v>522</v>
      </c>
      <c r="H26" s="232">
        <f>TRUNC(G26*(1-(SINTÉTICA!$I$58)),2)</f>
        <v>983.37</v>
      </c>
      <c r="I26" s="228">
        <f>F26*H26/(SUM($K$11:$K1399))</f>
        <v>3.4384302366068944E-3</v>
      </c>
      <c r="K26" s="142">
        <f t="shared" si="0"/>
        <v>983.37</v>
      </c>
    </row>
    <row r="27" spans="1:11" ht="25.5" x14ac:dyDescent="0.2">
      <c r="A27" s="239" t="s">
        <v>321</v>
      </c>
      <c r="B27" s="240" t="s">
        <v>11</v>
      </c>
      <c r="C27" s="240" t="s">
        <v>322</v>
      </c>
      <c r="D27" s="240" t="s">
        <v>32</v>
      </c>
      <c r="E27" s="241" t="s">
        <v>291</v>
      </c>
      <c r="F27" s="239" t="s">
        <v>323</v>
      </c>
      <c r="G27" s="239" t="s">
        <v>523</v>
      </c>
      <c r="H27" s="232">
        <f>TRUNC(G27*(1-(SINTÉTICA!$I$58)),2)</f>
        <v>14.8</v>
      </c>
      <c r="I27" s="228">
        <f>F27*H27/(SUM($K$11:$K1400))</f>
        <v>3.3119589982550319E-3</v>
      </c>
      <c r="K27" s="142">
        <f t="shared" si="0"/>
        <v>947.2</v>
      </c>
    </row>
    <row r="28" spans="1:11" x14ac:dyDescent="0.2">
      <c r="A28" s="239" t="s">
        <v>92</v>
      </c>
      <c r="B28" s="240" t="s">
        <v>8</v>
      </c>
      <c r="C28" s="240" t="s">
        <v>324</v>
      </c>
      <c r="D28" s="240" t="s">
        <v>48</v>
      </c>
      <c r="E28" s="241" t="s">
        <v>27</v>
      </c>
      <c r="F28" s="239" t="s">
        <v>309</v>
      </c>
      <c r="G28" s="239" t="s">
        <v>524</v>
      </c>
      <c r="H28" s="232">
        <f>TRUNC(G28*(1-(SINTÉTICA!$I$58)),2)</f>
        <v>0.92</v>
      </c>
      <c r="I28" s="228">
        <f>F28*H28/(SUM($K$11:$K1401))</f>
        <v>3.2843851157792997E-3</v>
      </c>
      <c r="K28" s="142">
        <f t="shared" si="0"/>
        <v>939.31403840000007</v>
      </c>
    </row>
    <row r="29" spans="1:11" ht="25.5" x14ac:dyDescent="0.2">
      <c r="A29" s="239" t="s">
        <v>201</v>
      </c>
      <c r="B29" s="240" t="s">
        <v>8</v>
      </c>
      <c r="C29" s="240" t="s">
        <v>202</v>
      </c>
      <c r="D29" s="240" t="s">
        <v>43</v>
      </c>
      <c r="E29" s="241" t="s">
        <v>27</v>
      </c>
      <c r="F29" s="239" t="s">
        <v>325</v>
      </c>
      <c r="G29" s="239" t="s">
        <v>203</v>
      </c>
      <c r="H29" s="232">
        <f>TRUNC(G29*(1-(SINTÉTICA!$I$58)),2)</f>
        <v>0.93</v>
      </c>
      <c r="I29" s="228">
        <f>F29*H29/(SUM($K$11:$K1402))</f>
        <v>2.9660884207087846E-3</v>
      </c>
      <c r="K29" s="142">
        <f t="shared" si="0"/>
        <v>848.28313200000002</v>
      </c>
    </row>
    <row r="30" spans="1:11" ht="25.5" x14ac:dyDescent="0.2">
      <c r="A30" s="239" t="s">
        <v>208</v>
      </c>
      <c r="B30" s="240" t="s">
        <v>8</v>
      </c>
      <c r="C30" s="240" t="s">
        <v>209</v>
      </c>
      <c r="D30" s="240" t="s">
        <v>43</v>
      </c>
      <c r="E30" s="241" t="s">
        <v>13</v>
      </c>
      <c r="F30" s="239" t="s">
        <v>198</v>
      </c>
      <c r="G30" s="239" t="s">
        <v>210</v>
      </c>
      <c r="H30" s="232">
        <f>TRUNC(G30*(1-(SINTÉTICA!$I$58)),2)</f>
        <v>402.34</v>
      </c>
      <c r="I30" s="228">
        <f>F30*H30/(SUM($K$11:$K1403))</f>
        <v>2.8136266540496821E-3</v>
      </c>
      <c r="K30" s="142">
        <f t="shared" si="0"/>
        <v>804.68</v>
      </c>
    </row>
    <row r="31" spans="1:11" ht="25.5" x14ac:dyDescent="0.2">
      <c r="A31" s="239" t="s">
        <v>326</v>
      </c>
      <c r="B31" s="240" t="s">
        <v>8</v>
      </c>
      <c r="C31" s="240" t="s">
        <v>327</v>
      </c>
      <c r="D31" s="240" t="s">
        <v>32</v>
      </c>
      <c r="E31" s="241" t="s">
        <v>12</v>
      </c>
      <c r="F31" s="239" t="s">
        <v>200</v>
      </c>
      <c r="G31" s="239" t="s">
        <v>525</v>
      </c>
      <c r="H31" s="232">
        <f>TRUNC(G31*(1-(SINTÉTICA!$I$58)),2)</f>
        <v>104.77</v>
      </c>
      <c r="I31" s="228">
        <f>F31*H31/(SUM($K$11:$K1404))</f>
        <v>2.564355584596978E-3</v>
      </c>
      <c r="K31" s="142">
        <f t="shared" si="0"/>
        <v>733.39</v>
      </c>
    </row>
    <row r="32" spans="1:11" x14ac:dyDescent="0.2">
      <c r="A32" s="239" t="s">
        <v>108</v>
      </c>
      <c r="B32" s="240" t="s">
        <v>8</v>
      </c>
      <c r="C32" s="240" t="s">
        <v>57</v>
      </c>
      <c r="D32" s="240" t="s">
        <v>50</v>
      </c>
      <c r="E32" s="241" t="s">
        <v>27</v>
      </c>
      <c r="F32" s="239" t="s">
        <v>328</v>
      </c>
      <c r="G32" s="239" t="s">
        <v>526</v>
      </c>
      <c r="H32" s="232">
        <f>TRUNC(G32*(1-(SINTÉTICA!$I$58)),2)</f>
        <v>12.68</v>
      </c>
      <c r="I32" s="228">
        <f>F32*H32/(SUM($K$11:$K1405))</f>
        <v>2.3237173712432899E-3</v>
      </c>
      <c r="K32" s="142">
        <f t="shared" si="0"/>
        <v>664.56894399999999</v>
      </c>
    </row>
    <row r="33" spans="1:11" ht="25.5" x14ac:dyDescent="0.2">
      <c r="A33" s="239" t="s">
        <v>329</v>
      </c>
      <c r="B33" s="240" t="s">
        <v>8</v>
      </c>
      <c r="C33" s="240" t="s">
        <v>330</v>
      </c>
      <c r="D33" s="240" t="s">
        <v>32</v>
      </c>
      <c r="E33" s="241" t="s">
        <v>12</v>
      </c>
      <c r="F33" s="239" t="s">
        <v>231</v>
      </c>
      <c r="G33" s="239" t="s">
        <v>527</v>
      </c>
      <c r="H33" s="232">
        <f>TRUNC(G33*(1-(SINTÉTICA!$I$58)),2)</f>
        <v>3.09</v>
      </c>
      <c r="I33" s="228">
        <f>F33*H33/(SUM($K$11:$K1406))</f>
        <v>2.2473208270254162E-3</v>
      </c>
      <c r="K33" s="142">
        <f t="shared" si="0"/>
        <v>642.72</v>
      </c>
    </row>
    <row r="34" spans="1:11" ht="25.5" x14ac:dyDescent="0.2">
      <c r="A34" s="239" t="s">
        <v>31</v>
      </c>
      <c r="B34" s="240" t="s">
        <v>8</v>
      </c>
      <c r="C34" s="240" t="s">
        <v>331</v>
      </c>
      <c r="D34" s="240" t="s">
        <v>32</v>
      </c>
      <c r="E34" s="241" t="s">
        <v>10</v>
      </c>
      <c r="F34" s="239" t="s">
        <v>220</v>
      </c>
      <c r="G34" s="239" t="s">
        <v>528</v>
      </c>
      <c r="H34" s="232">
        <f>TRUNC(G34*(1-(SINTÉTICA!$I$58)),2)</f>
        <v>400</v>
      </c>
      <c r="I34" s="228">
        <f>F34*H34/(SUM($K$11:$K1407))</f>
        <v>2.2378101339561025E-3</v>
      </c>
      <c r="K34" s="142">
        <f t="shared" si="0"/>
        <v>640</v>
      </c>
    </row>
    <row r="35" spans="1:11" ht="25.5" x14ac:dyDescent="0.2">
      <c r="A35" s="239" t="s">
        <v>205</v>
      </c>
      <c r="B35" s="240" t="s">
        <v>8</v>
      </c>
      <c r="C35" s="240" t="s">
        <v>206</v>
      </c>
      <c r="D35" s="240" t="s">
        <v>43</v>
      </c>
      <c r="E35" s="241" t="s">
        <v>27</v>
      </c>
      <c r="F35" s="239" t="s">
        <v>325</v>
      </c>
      <c r="G35" s="239" t="s">
        <v>207</v>
      </c>
      <c r="H35" s="232">
        <f>TRUNC(G35*(1-(SINTÉTICA!$I$58)),2)</f>
        <v>0.55000000000000004</v>
      </c>
      <c r="I35" s="228">
        <f>F35*H35/(SUM($K$11:$K1408))</f>
        <v>1.7541383133223994E-3</v>
      </c>
      <c r="K35" s="142">
        <f t="shared" si="0"/>
        <v>501.67282</v>
      </c>
    </row>
    <row r="36" spans="1:11" x14ac:dyDescent="0.2">
      <c r="A36" s="239" t="s">
        <v>232</v>
      </c>
      <c r="B36" s="240" t="s">
        <v>8</v>
      </c>
      <c r="C36" s="240" t="s">
        <v>233</v>
      </c>
      <c r="D36" s="240" t="s">
        <v>50</v>
      </c>
      <c r="E36" s="241" t="s">
        <v>27</v>
      </c>
      <c r="F36" s="239" t="s">
        <v>328</v>
      </c>
      <c r="G36" s="239" t="s">
        <v>529</v>
      </c>
      <c r="H36" s="232">
        <f>TRUNC(G36*(1-(SINTÉTICA!$I$58)),2)</f>
        <v>9.43</v>
      </c>
      <c r="I36" s="228">
        <f>F36*H36/(SUM($K$11:$K1409))</f>
        <v>1.7281273510113741E-3</v>
      </c>
      <c r="K36" s="142">
        <f t="shared" si="0"/>
        <v>494.23384399999998</v>
      </c>
    </row>
    <row r="37" spans="1:11" ht="38.25" x14ac:dyDescent="0.2">
      <c r="A37" s="239" t="s">
        <v>332</v>
      </c>
      <c r="B37" s="240" t="s">
        <v>8</v>
      </c>
      <c r="C37" s="240" t="s">
        <v>333</v>
      </c>
      <c r="D37" s="240" t="s">
        <v>32</v>
      </c>
      <c r="E37" s="241" t="s">
        <v>14</v>
      </c>
      <c r="F37" s="239" t="s">
        <v>334</v>
      </c>
      <c r="G37" s="239" t="s">
        <v>530</v>
      </c>
      <c r="H37" s="232">
        <f>TRUNC(G37*(1-(SINTÉTICA!$I$58)),2)</f>
        <v>27.59</v>
      </c>
      <c r="I37" s="228">
        <f>F37*H37/(SUM($K$11:$K1410))</f>
        <v>1.5666824829946649E-3</v>
      </c>
      <c r="K37" s="142">
        <f t="shared" si="0"/>
        <v>448.06159999999994</v>
      </c>
    </row>
    <row r="38" spans="1:11" ht="25.5" x14ac:dyDescent="0.2">
      <c r="A38" s="239" t="s">
        <v>335</v>
      </c>
      <c r="B38" s="240" t="s">
        <v>8</v>
      </c>
      <c r="C38" s="240" t="s">
        <v>336</v>
      </c>
      <c r="D38" s="240" t="s">
        <v>32</v>
      </c>
      <c r="E38" s="241" t="s">
        <v>12</v>
      </c>
      <c r="F38" s="239" t="s">
        <v>337</v>
      </c>
      <c r="G38" s="239" t="s">
        <v>519</v>
      </c>
      <c r="H38" s="232">
        <f>TRUNC(G38*(1-(SINTÉTICA!$I$58)),2)</f>
        <v>8.5500000000000007</v>
      </c>
      <c r="I38" s="228">
        <f>F38*H38/(SUM($K$11:$K1411))</f>
        <v>1.3752042588827112E-3</v>
      </c>
      <c r="K38" s="142">
        <f t="shared" si="0"/>
        <v>393.3</v>
      </c>
    </row>
    <row r="39" spans="1:11" x14ac:dyDescent="0.2">
      <c r="A39" s="239" t="s">
        <v>89</v>
      </c>
      <c r="B39" s="240" t="s">
        <v>8</v>
      </c>
      <c r="C39" s="240" t="s">
        <v>338</v>
      </c>
      <c r="D39" s="240" t="s">
        <v>51</v>
      </c>
      <c r="E39" s="241" t="s">
        <v>27</v>
      </c>
      <c r="F39" s="239" t="s">
        <v>339</v>
      </c>
      <c r="G39" s="239" t="s">
        <v>204</v>
      </c>
      <c r="H39" s="232">
        <f>TRUNC(G39*(1-(SINTÉTICA!$I$58)),2)</f>
        <v>0.35</v>
      </c>
      <c r="I39" s="228">
        <f>F39*H39/(SUM($K$11:$K1412))</f>
        <v>1.3473985308853128E-3</v>
      </c>
      <c r="K39" s="142">
        <f t="shared" si="0"/>
        <v>385.34773199999995</v>
      </c>
    </row>
    <row r="40" spans="1:11" ht="25.5" x14ac:dyDescent="0.2">
      <c r="A40" s="239" t="s">
        <v>340</v>
      </c>
      <c r="B40" s="240" t="s">
        <v>8</v>
      </c>
      <c r="C40" s="240" t="s">
        <v>341</v>
      </c>
      <c r="D40" s="240" t="s">
        <v>32</v>
      </c>
      <c r="E40" s="241" t="s">
        <v>12</v>
      </c>
      <c r="F40" s="239" t="s">
        <v>342</v>
      </c>
      <c r="G40" s="239" t="s">
        <v>243</v>
      </c>
      <c r="H40" s="232">
        <f>TRUNC(G40*(1-(SINTÉTICA!$I$58)),2)</f>
        <v>4.43</v>
      </c>
      <c r="I40" s="228">
        <f>F40*H40/(SUM($K$11:$K1413))</f>
        <v>1.1152686255103724E-3</v>
      </c>
      <c r="K40" s="142">
        <f t="shared" si="0"/>
        <v>318.95999999999998</v>
      </c>
    </row>
    <row r="41" spans="1:11" ht="25.5" x14ac:dyDescent="0.2">
      <c r="A41" s="239" t="s">
        <v>343</v>
      </c>
      <c r="B41" s="240" t="s">
        <v>8</v>
      </c>
      <c r="C41" s="240" t="s">
        <v>344</v>
      </c>
      <c r="D41" s="240" t="s">
        <v>32</v>
      </c>
      <c r="E41" s="241" t="s">
        <v>12</v>
      </c>
      <c r="F41" s="239" t="s">
        <v>236</v>
      </c>
      <c r="G41" s="239" t="s">
        <v>531</v>
      </c>
      <c r="H41" s="232">
        <f>TRUNC(G41*(1-(SINTÉTICA!$I$58)),2)</f>
        <v>70.66</v>
      </c>
      <c r="I41" s="228">
        <f>F41*H41/(SUM($K$11:$K1414))</f>
        <v>9.8827290040836365E-4</v>
      </c>
      <c r="K41" s="142">
        <f t="shared" si="0"/>
        <v>282.64</v>
      </c>
    </row>
    <row r="42" spans="1:11" x14ac:dyDescent="0.2">
      <c r="A42" s="239" t="s">
        <v>345</v>
      </c>
      <c r="B42" s="240" t="s">
        <v>8</v>
      </c>
      <c r="C42" s="240" t="s">
        <v>346</v>
      </c>
      <c r="D42" s="240" t="s">
        <v>50</v>
      </c>
      <c r="E42" s="241" t="s">
        <v>27</v>
      </c>
      <c r="F42" s="239" t="s">
        <v>347</v>
      </c>
      <c r="G42" s="239" t="s">
        <v>532</v>
      </c>
      <c r="H42" s="232">
        <f>TRUNC(G42*(1-(SINTÉTICA!$I$58)),2)</f>
        <v>16.11</v>
      </c>
      <c r="I42" s="228">
        <f>F42*H42/(SUM($K$11:$K1415))</f>
        <v>9.0443250456089821E-4</v>
      </c>
      <c r="K42" s="142">
        <f t="shared" si="0"/>
        <v>258.66216000000003</v>
      </c>
    </row>
    <row r="43" spans="1:11" ht="25.5" x14ac:dyDescent="0.2">
      <c r="A43" s="239" t="s">
        <v>348</v>
      </c>
      <c r="B43" s="240" t="s">
        <v>8</v>
      </c>
      <c r="C43" s="240" t="s">
        <v>349</v>
      </c>
      <c r="D43" s="240" t="s">
        <v>32</v>
      </c>
      <c r="E43" s="241" t="s">
        <v>12</v>
      </c>
      <c r="F43" s="239" t="s">
        <v>350</v>
      </c>
      <c r="G43" s="239" t="s">
        <v>533</v>
      </c>
      <c r="H43" s="232">
        <f>TRUNC(G43*(1-(SINTÉTICA!$I$58)),2)</f>
        <v>7.02</v>
      </c>
      <c r="I43" s="228">
        <f>F43*H43/(SUM($K$11:$K1416))</f>
        <v>8.6720456091235769E-4</v>
      </c>
      <c r="K43" s="142">
        <f t="shared" si="0"/>
        <v>248.01519599999997</v>
      </c>
    </row>
    <row r="44" spans="1:11" x14ac:dyDescent="0.2">
      <c r="A44" s="239" t="s">
        <v>351</v>
      </c>
      <c r="B44" s="240" t="s">
        <v>8</v>
      </c>
      <c r="C44" s="240" t="s">
        <v>352</v>
      </c>
      <c r="D44" s="240" t="s">
        <v>32</v>
      </c>
      <c r="E44" s="241" t="s">
        <v>12</v>
      </c>
      <c r="F44" s="239" t="s">
        <v>195</v>
      </c>
      <c r="G44" s="239" t="s">
        <v>534</v>
      </c>
      <c r="H44" s="232">
        <f>TRUNC(G44*(1-(SINTÉTICA!$I$58)),2)</f>
        <v>235.14</v>
      </c>
      <c r="I44" s="228">
        <f>F44*H44/(SUM($K$11:$K1417))</f>
        <v>8.2218542952880924E-4</v>
      </c>
      <c r="K44" s="142">
        <f t="shared" si="0"/>
        <v>235.14</v>
      </c>
    </row>
    <row r="45" spans="1:11" ht="38.25" x14ac:dyDescent="0.2">
      <c r="A45" s="239" t="s">
        <v>223</v>
      </c>
      <c r="B45" s="240" t="s">
        <v>8</v>
      </c>
      <c r="C45" s="240" t="s">
        <v>224</v>
      </c>
      <c r="D45" s="240" t="s">
        <v>32</v>
      </c>
      <c r="E45" s="241" t="s">
        <v>14</v>
      </c>
      <c r="F45" s="239" t="s">
        <v>353</v>
      </c>
      <c r="G45" s="239" t="s">
        <v>535</v>
      </c>
      <c r="H45" s="232">
        <f>TRUNC(G45*(1-(SINTÉTICA!$I$58)),2)</f>
        <v>9.2200000000000006</v>
      </c>
      <c r="I45" s="228">
        <f>F45*H45/(SUM($K$11:$K1418))</f>
        <v>7.9461337086833626E-4</v>
      </c>
      <c r="K45" s="142">
        <f t="shared" si="0"/>
        <v>227.25456000000003</v>
      </c>
    </row>
    <row r="46" spans="1:11" x14ac:dyDescent="0.2">
      <c r="A46" s="239" t="s">
        <v>354</v>
      </c>
      <c r="B46" s="240" t="s">
        <v>8</v>
      </c>
      <c r="C46" s="240" t="s">
        <v>355</v>
      </c>
      <c r="D46" s="240" t="s">
        <v>32</v>
      </c>
      <c r="E46" s="241" t="s">
        <v>12</v>
      </c>
      <c r="F46" s="239" t="s">
        <v>219</v>
      </c>
      <c r="G46" s="239" t="s">
        <v>536</v>
      </c>
      <c r="H46" s="232">
        <f>TRUNC(G46*(1-(SINTÉTICA!$I$58)),2)</f>
        <v>3.79</v>
      </c>
      <c r="I46" s="228">
        <f>F46*H46/(SUM($K$11:$K1419))</f>
        <v>7.8186988133425637E-4</v>
      </c>
      <c r="K46" s="142">
        <f t="shared" si="0"/>
        <v>223.61</v>
      </c>
    </row>
    <row r="47" spans="1:11" x14ac:dyDescent="0.2">
      <c r="A47" s="239" t="s">
        <v>357</v>
      </c>
      <c r="B47" s="240" t="s">
        <v>8</v>
      </c>
      <c r="C47" s="240" t="s">
        <v>358</v>
      </c>
      <c r="D47" s="240" t="s">
        <v>32</v>
      </c>
      <c r="E47" s="241" t="s">
        <v>12</v>
      </c>
      <c r="F47" s="239" t="s">
        <v>236</v>
      </c>
      <c r="G47" s="239" t="s">
        <v>537</v>
      </c>
      <c r="H47" s="232">
        <f>TRUNC(G47*(1-(SINTÉTICA!$I$58)),2)</f>
        <v>51.48</v>
      </c>
      <c r="I47" s="228">
        <f>F47*H47/(SUM($K$11:$K1420))</f>
        <v>7.2001541060037592E-4</v>
      </c>
      <c r="K47" s="142">
        <f t="shared" si="0"/>
        <v>205.92</v>
      </c>
    </row>
    <row r="48" spans="1:11" x14ac:dyDescent="0.2">
      <c r="A48" s="239" t="s">
        <v>359</v>
      </c>
      <c r="B48" s="240" t="s">
        <v>212</v>
      </c>
      <c r="C48" s="240" t="s">
        <v>360</v>
      </c>
      <c r="D48" s="240" t="s">
        <v>32</v>
      </c>
      <c r="E48" s="241" t="s">
        <v>199</v>
      </c>
      <c r="F48" s="239" t="s">
        <v>361</v>
      </c>
      <c r="G48" s="239" t="s">
        <v>538</v>
      </c>
      <c r="H48" s="232">
        <f>TRUNC(G48*(1-(SINTÉTICA!$I$58)),2)</f>
        <v>0.28000000000000003</v>
      </c>
      <c r="I48" s="228">
        <f>F48*H48/(SUM($K$11:$K1421))</f>
        <v>4.0728144438001071E-4</v>
      </c>
      <c r="K48" s="142">
        <f t="shared" si="0"/>
        <v>116.48000000000002</v>
      </c>
    </row>
    <row r="49" spans="1:11" x14ac:dyDescent="0.2">
      <c r="A49" s="239" t="s">
        <v>362</v>
      </c>
      <c r="B49" s="240" t="s">
        <v>212</v>
      </c>
      <c r="C49" s="240" t="s">
        <v>363</v>
      </c>
      <c r="D49" s="240" t="s">
        <v>32</v>
      </c>
      <c r="E49" s="241" t="s">
        <v>199</v>
      </c>
      <c r="F49" s="239" t="s">
        <v>231</v>
      </c>
      <c r="G49" s="239" t="s">
        <v>539</v>
      </c>
      <c r="H49" s="232">
        <f>TRUNC(G49*(1-(SINTÉTICA!$I$58)),2)</f>
        <v>0.52</v>
      </c>
      <c r="I49" s="228">
        <f>F49*H49/(SUM($K$11:$K1422))</f>
        <v>3.7818991263858132E-4</v>
      </c>
      <c r="K49" s="142">
        <f t="shared" si="0"/>
        <v>108.16</v>
      </c>
    </row>
    <row r="50" spans="1:11" ht="25.5" x14ac:dyDescent="0.2">
      <c r="A50" s="239" t="s">
        <v>364</v>
      </c>
      <c r="B50" s="240" t="s">
        <v>8</v>
      </c>
      <c r="C50" s="240" t="s">
        <v>365</v>
      </c>
      <c r="D50" s="240" t="s">
        <v>32</v>
      </c>
      <c r="E50" s="241" t="s">
        <v>12</v>
      </c>
      <c r="F50" s="239" t="s">
        <v>366</v>
      </c>
      <c r="G50" s="239" t="s">
        <v>540</v>
      </c>
      <c r="H50" s="232">
        <f>TRUNC(G50*(1-(SINTÉTICA!$I$58)),2)</f>
        <v>1.96</v>
      </c>
      <c r="I50" s="228">
        <f>F50*H50/(SUM($K$11:$K1423))</f>
        <v>3.6322455736774987E-4</v>
      </c>
      <c r="K50" s="142">
        <f t="shared" si="0"/>
        <v>103.88</v>
      </c>
    </row>
    <row r="51" spans="1:11" x14ac:dyDescent="0.2">
      <c r="A51" s="239" t="s">
        <v>91</v>
      </c>
      <c r="B51" s="240" t="s">
        <v>8</v>
      </c>
      <c r="C51" s="240" t="s">
        <v>367</v>
      </c>
      <c r="D51" s="240" t="s">
        <v>42</v>
      </c>
      <c r="E51" s="241" t="s">
        <v>27</v>
      </c>
      <c r="F51" s="239" t="s">
        <v>339</v>
      </c>
      <c r="G51" s="239" t="s">
        <v>215</v>
      </c>
      <c r="H51" s="232">
        <f>TRUNC(G51*(1-(SINTÉTICA!$I$58)),2)</f>
        <v>7.0000000000000007E-2</v>
      </c>
      <c r="I51" s="228">
        <f>F51*H51/(SUM($K$11:$K1424))</f>
        <v>2.6947970617706261E-4</v>
      </c>
      <c r="K51" s="142">
        <f t="shared" si="0"/>
        <v>77.069546400000007</v>
      </c>
    </row>
    <row r="52" spans="1:11" ht="25.5" x14ac:dyDescent="0.2">
      <c r="A52" s="239" t="s">
        <v>114</v>
      </c>
      <c r="B52" s="240" t="s">
        <v>8</v>
      </c>
      <c r="C52" s="240" t="s">
        <v>61</v>
      </c>
      <c r="D52" s="240" t="s">
        <v>43</v>
      </c>
      <c r="E52" s="241" t="s">
        <v>27</v>
      </c>
      <c r="F52" s="239" t="s">
        <v>368</v>
      </c>
      <c r="G52" s="239" t="s">
        <v>222</v>
      </c>
      <c r="H52" s="232">
        <f>TRUNC(G52*(1-(SINTÉTICA!$I$58)),2)</f>
        <v>0.66</v>
      </c>
      <c r="I52" s="228">
        <f>F52*H52/(SUM($K$11:$K1425))</f>
        <v>2.4005978419026319E-4</v>
      </c>
      <c r="K52" s="142">
        <f t="shared" si="0"/>
        <v>68.655628800000002</v>
      </c>
    </row>
    <row r="53" spans="1:11" ht="25.5" x14ac:dyDescent="0.2">
      <c r="A53" s="239" t="s">
        <v>369</v>
      </c>
      <c r="B53" s="240" t="s">
        <v>8</v>
      </c>
      <c r="C53" s="240" t="s">
        <v>370</v>
      </c>
      <c r="D53" s="240" t="s">
        <v>32</v>
      </c>
      <c r="E53" s="241" t="s">
        <v>12</v>
      </c>
      <c r="F53" s="239" t="s">
        <v>371</v>
      </c>
      <c r="G53" s="239" t="s">
        <v>255</v>
      </c>
      <c r="H53" s="232">
        <f>TRUNC(G53*(1-(SINTÉTICA!$I$58)),2)</f>
        <v>15.6</v>
      </c>
      <c r="I53" s="228">
        <f>F53*H53/(SUM($K$11:$K1426))</f>
        <v>2.1816466941191391E-4</v>
      </c>
      <c r="K53" s="142">
        <f t="shared" si="0"/>
        <v>62.39376</v>
      </c>
    </row>
    <row r="54" spans="1:11" x14ac:dyDescent="0.2">
      <c r="A54" s="239" t="s">
        <v>372</v>
      </c>
      <c r="B54" s="240" t="s">
        <v>8</v>
      </c>
      <c r="C54" s="240" t="s">
        <v>373</v>
      </c>
      <c r="D54" s="240" t="s">
        <v>32</v>
      </c>
      <c r="E54" s="241" t="s">
        <v>12</v>
      </c>
      <c r="F54" s="239" t="s">
        <v>374</v>
      </c>
      <c r="G54" s="239" t="s">
        <v>541</v>
      </c>
      <c r="H54" s="232">
        <f>TRUNC(G54*(1-(SINTÉTICA!$I$58)),2)</f>
        <v>227.31</v>
      </c>
      <c r="I54" s="228">
        <f>F54*H54/(SUM($K$11:$K1427))</f>
        <v>1.5896144423423802E-4</v>
      </c>
      <c r="K54" s="142">
        <f t="shared" si="0"/>
        <v>45.462000000000003</v>
      </c>
    </row>
    <row r="55" spans="1:11" ht="25.5" x14ac:dyDescent="0.2">
      <c r="A55" s="239" t="s">
        <v>375</v>
      </c>
      <c r="B55" s="240" t="s">
        <v>8</v>
      </c>
      <c r="C55" s="240" t="s">
        <v>376</v>
      </c>
      <c r="D55" s="240" t="s">
        <v>32</v>
      </c>
      <c r="E55" s="241" t="s">
        <v>12</v>
      </c>
      <c r="F55" s="239" t="s">
        <v>221</v>
      </c>
      <c r="G55" s="239" t="s">
        <v>542</v>
      </c>
      <c r="H55" s="232">
        <f>TRUNC(G55*(1-(SINTÉTICA!$I$58)),2)</f>
        <v>5.46</v>
      </c>
      <c r="I55" s="228">
        <f>F55*H55/(SUM($K$11:$K1428))</f>
        <v>1.52730541642504E-4</v>
      </c>
      <c r="K55" s="142">
        <f t="shared" si="0"/>
        <v>43.68</v>
      </c>
    </row>
    <row r="56" spans="1:11" x14ac:dyDescent="0.2">
      <c r="A56" s="239" t="s">
        <v>377</v>
      </c>
      <c r="B56" s="240" t="s">
        <v>8</v>
      </c>
      <c r="C56" s="240" t="s">
        <v>378</v>
      </c>
      <c r="D56" s="240" t="s">
        <v>32</v>
      </c>
      <c r="E56" s="241" t="s">
        <v>12</v>
      </c>
      <c r="F56" s="239" t="s">
        <v>379</v>
      </c>
      <c r="G56" s="239" t="s">
        <v>543</v>
      </c>
      <c r="H56" s="232">
        <f>TRUNC(G56*(1-(SINTÉTICA!$I$58)),2)</f>
        <v>99.99</v>
      </c>
      <c r="I56" s="228">
        <f>F56*H56/(SUM($K$11:$K1429))</f>
        <v>1.3984914705891918E-4</v>
      </c>
      <c r="K56" s="142">
        <f t="shared" si="0"/>
        <v>39.996000000000002</v>
      </c>
    </row>
    <row r="57" spans="1:11" ht="25.5" x14ac:dyDescent="0.2">
      <c r="A57" s="239" t="s">
        <v>227</v>
      </c>
      <c r="B57" s="240" t="s">
        <v>8</v>
      </c>
      <c r="C57" s="240" t="s">
        <v>228</v>
      </c>
      <c r="D57" s="240" t="s">
        <v>43</v>
      </c>
      <c r="E57" s="241" t="s">
        <v>27</v>
      </c>
      <c r="F57" s="239" t="s">
        <v>323</v>
      </c>
      <c r="G57" s="239" t="s">
        <v>229</v>
      </c>
      <c r="H57" s="232">
        <f>TRUNC(G57*(1-(SINTÉTICA!$I$58)),2)</f>
        <v>0.56999999999999995</v>
      </c>
      <c r="I57" s="228">
        <f>F57*H57/(SUM($K$11:$K1430))</f>
        <v>1.2755517763549782E-4</v>
      </c>
      <c r="K57" s="142">
        <f t="shared" si="0"/>
        <v>36.479999999999997</v>
      </c>
    </row>
    <row r="58" spans="1:11" x14ac:dyDescent="0.2">
      <c r="A58" s="239" t="s">
        <v>112</v>
      </c>
      <c r="B58" s="240" t="s">
        <v>8</v>
      </c>
      <c r="C58" s="240" t="s">
        <v>380</v>
      </c>
      <c r="D58" s="240" t="s">
        <v>50</v>
      </c>
      <c r="E58" s="241" t="s">
        <v>27</v>
      </c>
      <c r="F58" s="239" t="s">
        <v>381</v>
      </c>
      <c r="G58" s="239" t="s">
        <v>544</v>
      </c>
      <c r="H58" s="232">
        <f>TRUNC(G58*(1-(SINTÉTICA!$I$58)),2)</f>
        <v>10.95</v>
      </c>
      <c r="I58" s="228">
        <f>F58*H58/(SUM($K$11:$K1431))</f>
        <v>1.257633115566403E-4</v>
      </c>
      <c r="K58" s="142">
        <f t="shared" si="0"/>
        <v>35.967537269999994</v>
      </c>
    </row>
    <row r="59" spans="1:11" ht="25.5" x14ac:dyDescent="0.2">
      <c r="A59" s="239" t="s">
        <v>33</v>
      </c>
      <c r="B59" s="240" t="s">
        <v>8</v>
      </c>
      <c r="C59" s="240" t="s">
        <v>382</v>
      </c>
      <c r="D59" s="240" t="s">
        <v>32</v>
      </c>
      <c r="E59" s="241" t="s">
        <v>14</v>
      </c>
      <c r="F59" s="239" t="s">
        <v>237</v>
      </c>
      <c r="G59" s="239" t="s">
        <v>545</v>
      </c>
      <c r="H59" s="232">
        <f>TRUNC(G59*(1-(SINTÉTICA!$I$58)),2)</f>
        <v>5.23</v>
      </c>
      <c r="I59" s="228">
        <f>F59*H59/(SUM($K$11:$K1432))</f>
        <v>1.1703747000590416E-4</v>
      </c>
      <c r="K59" s="142">
        <f t="shared" si="0"/>
        <v>33.472000000000001</v>
      </c>
    </row>
    <row r="60" spans="1:11" ht="25.5" x14ac:dyDescent="0.2">
      <c r="A60" s="239" t="s">
        <v>383</v>
      </c>
      <c r="B60" s="240" t="s">
        <v>8</v>
      </c>
      <c r="C60" s="240" t="s">
        <v>384</v>
      </c>
      <c r="D60" s="240" t="s">
        <v>32</v>
      </c>
      <c r="E60" s="241" t="s">
        <v>12</v>
      </c>
      <c r="F60" s="239" t="s">
        <v>385</v>
      </c>
      <c r="G60" s="239" t="s">
        <v>546</v>
      </c>
      <c r="H60" s="232">
        <f>TRUNC(G60*(1-(SINTÉTICA!$I$58)),2)</f>
        <v>1.58</v>
      </c>
      <c r="I60" s="228">
        <f>F60*H60/(SUM($K$11:$K1433))</f>
        <v>1.0496728159587844E-4</v>
      </c>
      <c r="K60" s="142">
        <f t="shared" si="0"/>
        <v>30.020000000000003</v>
      </c>
    </row>
    <row r="61" spans="1:11" x14ac:dyDescent="0.2">
      <c r="A61" s="239" t="s">
        <v>386</v>
      </c>
      <c r="B61" s="240" t="s">
        <v>212</v>
      </c>
      <c r="C61" s="240" t="s">
        <v>387</v>
      </c>
      <c r="D61" s="240" t="s">
        <v>32</v>
      </c>
      <c r="E61" s="241" t="s">
        <v>199</v>
      </c>
      <c r="F61" s="239" t="s">
        <v>231</v>
      </c>
      <c r="G61" s="239" t="s">
        <v>547</v>
      </c>
      <c r="H61" s="232">
        <f>TRUNC(G61*(1-(SINTÉTICA!$I$58)),2)</f>
        <v>0.14000000000000001</v>
      </c>
      <c r="I61" s="228">
        <f>F61*H61/(SUM($K$11:$K1434))</f>
        <v>1.0182036109500268E-4</v>
      </c>
      <c r="K61" s="142">
        <f t="shared" si="0"/>
        <v>29.120000000000005</v>
      </c>
    </row>
    <row r="62" spans="1:11" x14ac:dyDescent="0.2">
      <c r="A62" s="239" t="s">
        <v>105</v>
      </c>
      <c r="B62" s="240" t="s">
        <v>8</v>
      </c>
      <c r="C62" s="240" t="s">
        <v>56</v>
      </c>
      <c r="D62" s="240" t="s">
        <v>50</v>
      </c>
      <c r="E62" s="241" t="s">
        <v>27</v>
      </c>
      <c r="F62" s="239" t="s">
        <v>238</v>
      </c>
      <c r="G62" s="239" t="s">
        <v>513</v>
      </c>
      <c r="H62" s="232">
        <f>TRUNC(G62*(1-(SINTÉTICA!$I$58)),2)</f>
        <v>15.13</v>
      </c>
      <c r="I62" s="228">
        <f>F62*H62/(SUM($K$11:$K1435))</f>
        <v>8.5313865146593011E-5</v>
      </c>
      <c r="K62" s="142">
        <f t="shared" si="0"/>
        <v>24.399243200000001</v>
      </c>
    </row>
    <row r="63" spans="1:11" ht="25.5" x14ac:dyDescent="0.2">
      <c r="A63" s="239" t="s">
        <v>388</v>
      </c>
      <c r="B63" s="240" t="s">
        <v>8</v>
      </c>
      <c r="C63" s="240" t="s">
        <v>389</v>
      </c>
      <c r="D63" s="240" t="s">
        <v>32</v>
      </c>
      <c r="E63" s="241" t="s">
        <v>12</v>
      </c>
      <c r="F63" s="239" t="s">
        <v>390</v>
      </c>
      <c r="G63" s="239" t="s">
        <v>548</v>
      </c>
      <c r="H63" s="232">
        <f>TRUNC(G63*(1-(SINTÉTICA!$I$58)),2)</f>
        <v>3.27</v>
      </c>
      <c r="I63" s="228">
        <f>F63*H63/(SUM($K$11:$K1436))</f>
        <v>6.8602866919091775E-5</v>
      </c>
      <c r="K63" s="142">
        <f t="shared" si="0"/>
        <v>19.62</v>
      </c>
    </row>
    <row r="64" spans="1:11" x14ac:dyDescent="0.2">
      <c r="A64" s="239" t="s">
        <v>217</v>
      </c>
      <c r="B64" s="240" t="s">
        <v>8</v>
      </c>
      <c r="C64" s="240" t="s">
        <v>218</v>
      </c>
      <c r="D64" s="240" t="s">
        <v>32</v>
      </c>
      <c r="E64" s="241" t="s">
        <v>12</v>
      </c>
      <c r="F64" s="239" t="s">
        <v>230</v>
      </c>
      <c r="G64" s="239" t="s">
        <v>549</v>
      </c>
      <c r="H64" s="232">
        <f>TRUNC(G64*(1-(SINTÉTICA!$I$58)),2)</f>
        <v>6.13</v>
      </c>
      <c r="I64" s="228">
        <f>F64*H64/(SUM($K$11:$K1437))</f>
        <v>6.4302075567894887E-5</v>
      </c>
      <c r="K64" s="142">
        <f t="shared" si="0"/>
        <v>18.39</v>
      </c>
    </row>
    <row r="65" spans="1:11" ht="25.5" x14ac:dyDescent="0.2">
      <c r="A65" s="239" t="s">
        <v>391</v>
      </c>
      <c r="B65" s="240" t="s">
        <v>8</v>
      </c>
      <c r="C65" s="240" t="s">
        <v>392</v>
      </c>
      <c r="D65" s="240" t="s">
        <v>32</v>
      </c>
      <c r="E65" s="241" t="s">
        <v>12</v>
      </c>
      <c r="F65" s="239" t="s">
        <v>393</v>
      </c>
      <c r="G65" s="239" t="s">
        <v>253</v>
      </c>
      <c r="H65" s="232">
        <f>TRUNC(G65*(1-(SINTÉTICA!$I$58)),2)</f>
        <v>0.19</v>
      </c>
      <c r="I65" s="228">
        <f>F65*H65/(SUM($K$11:$K1438))</f>
        <v>6.1120189283676052E-5</v>
      </c>
      <c r="K65" s="142">
        <f t="shared" si="0"/>
        <v>17.48</v>
      </c>
    </row>
    <row r="66" spans="1:11" x14ac:dyDescent="0.2">
      <c r="A66" s="239" t="s">
        <v>394</v>
      </c>
      <c r="B66" s="240" t="s">
        <v>8</v>
      </c>
      <c r="C66" s="240" t="s">
        <v>395</v>
      </c>
      <c r="D66" s="240" t="s">
        <v>32</v>
      </c>
      <c r="E66" s="241" t="s">
        <v>12</v>
      </c>
      <c r="F66" s="239" t="s">
        <v>374</v>
      </c>
      <c r="G66" s="239" t="s">
        <v>550</v>
      </c>
      <c r="H66" s="232">
        <f>TRUNC(G66*(1-(SINTÉTICA!$I$58)),2)</f>
        <v>65.25</v>
      </c>
      <c r="I66" s="228">
        <f>F66*H66/(SUM($K$11:$K1439))</f>
        <v>4.5630347262698654E-5</v>
      </c>
      <c r="K66" s="142">
        <f t="shared" si="0"/>
        <v>13.05</v>
      </c>
    </row>
    <row r="67" spans="1:11" ht="25.5" x14ac:dyDescent="0.2">
      <c r="A67" s="239" t="s">
        <v>240</v>
      </c>
      <c r="B67" s="240" t="s">
        <v>8</v>
      </c>
      <c r="C67" s="240" t="s">
        <v>241</v>
      </c>
      <c r="D67" s="240" t="s">
        <v>43</v>
      </c>
      <c r="E67" s="241" t="s">
        <v>27</v>
      </c>
      <c r="F67" s="239" t="s">
        <v>396</v>
      </c>
      <c r="G67" s="239" t="s">
        <v>242</v>
      </c>
      <c r="H67" s="232">
        <f>TRUNC(G67*(1-(SINTÉTICA!$I$58)),2)</f>
        <v>0.54</v>
      </c>
      <c r="I67" s="228">
        <f>F67*H67/(SUM($K$11:$K1440))</f>
        <v>3.0210436808407384E-5</v>
      </c>
      <c r="K67" s="142">
        <f t="shared" si="0"/>
        <v>8.64</v>
      </c>
    </row>
    <row r="68" spans="1:11" ht="25.5" x14ac:dyDescent="0.2">
      <c r="A68" s="239" t="s">
        <v>37</v>
      </c>
      <c r="B68" s="240" t="s">
        <v>8</v>
      </c>
      <c r="C68" s="240" t="s">
        <v>38</v>
      </c>
      <c r="D68" s="240" t="s">
        <v>32</v>
      </c>
      <c r="E68" s="241" t="s">
        <v>14</v>
      </c>
      <c r="F68" s="239" t="s">
        <v>220</v>
      </c>
      <c r="G68" s="239" t="s">
        <v>356</v>
      </c>
      <c r="H68" s="232">
        <f>TRUNC(G68*(1-(SINTÉTICA!$I$58)),2)</f>
        <v>4.63</v>
      </c>
      <c r="I68" s="228">
        <f>F68*H68/(SUM($K$11:$K1441))</f>
        <v>2.5902652300541886E-5</v>
      </c>
      <c r="K68" s="142">
        <f t="shared" si="0"/>
        <v>7.4080000000000004</v>
      </c>
    </row>
    <row r="69" spans="1:11" ht="25.5" x14ac:dyDescent="0.2">
      <c r="A69" s="239" t="s">
        <v>247</v>
      </c>
      <c r="B69" s="240" t="s">
        <v>8</v>
      </c>
      <c r="C69" s="240" t="s">
        <v>248</v>
      </c>
      <c r="D69" s="240" t="s">
        <v>32</v>
      </c>
      <c r="E69" s="241" t="s">
        <v>12</v>
      </c>
      <c r="F69" s="239" t="s">
        <v>236</v>
      </c>
      <c r="G69" s="239" t="s">
        <v>551</v>
      </c>
      <c r="H69" s="232">
        <f>TRUNC(G69*(1-(SINTÉTICA!$I$58)),2)</f>
        <v>1.1399999999999999</v>
      </c>
      <c r="I69" s="228">
        <f>F69*H69/(SUM($K$11:$K1442))</f>
        <v>1.5944397204437227E-5</v>
      </c>
      <c r="K69" s="142">
        <f t="shared" si="0"/>
        <v>4.5599999999999996</v>
      </c>
    </row>
    <row r="70" spans="1:11" x14ac:dyDescent="0.2">
      <c r="A70" s="239" t="s">
        <v>397</v>
      </c>
      <c r="B70" s="240" t="s">
        <v>212</v>
      </c>
      <c r="C70" s="240" t="s">
        <v>398</v>
      </c>
      <c r="D70" s="240" t="s">
        <v>32</v>
      </c>
      <c r="E70" s="241" t="s">
        <v>239</v>
      </c>
      <c r="F70" s="239" t="s">
        <v>390</v>
      </c>
      <c r="G70" s="239" t="s">
        <v>552</v>
      </c>
      <c r="H70" s="232">
        <f>TRUNC(G70*(1-(SINTÉTICA!$I$58)),2)</f>
        <v>0.74</v>
      </c>
      <c r="I70" s="228">
        <f>F70*H70/(SUM($K$11:$K1443))</f>
        <v>1.552480780432046E-5</v>
      </c>
      <c r="K70" s="142">
        <f t="shared" si="0"/>
        <v>4.4399999999999995</v>
      </c>
    </row>
    <row r="71" spans="1:11" ht="25.5" x14ac:dyDescent="0.2">
      <c r="A71" s="239" t="s">
        <v>234</v>
      </c>
      <c r="B71" s="240" t="s">
        <v>8</v>
      </c>
      <c r="C71" s="240" t="s">
        <v>235</v>
      </c>
      <c r="D71" s="240" t="s">
        <v>32</v>
      </c>
      <c r="E71" s="241" t="s">
        <v>12</v>
      </c>
      <c r="F71" s="239" t="s">
        <v>399</v>
      </c>
      <c r="G71" s="239" t="s">
        <v>553</v>
      </c>
      <c r="H71" s="232">
        <f>TRUNC(G71*(1-(SINTÉTICA!$I$58)),2)</f>
        <v>2.79</v>
      </c>
      <c r="I71" s="228">
        <f>F71*H71/(SUM($K$11:$K1444))</f>
        <v>1.2526002361685912E-5</v>
      </c>
      <c r="K71" s="142">
        <f t="shared" si="0"/>
        <v>3.58236</v>
      </c>
    </row>
    <row r="72" spans="1:11" ht="25.5" x14ac:dyDescent="0.2">
      <c r="A72" s="239" t="s">
        <v>400</v>
      </c>
      <c r="B72" s="240" t="s">
        <v>8</v>
      </c>
      <c r="C72" s="240" t="s">
        <v>401</v>
      </c>
      <c r="D72" s="240" t="s">
        <v>32</v>
      </c>
      <c r="E72" s="241" t="s">
        <v>12</v>
      </c>
      <c r="F72" s="239" t="s">
        <v>402</v>
      </c>
      <c r="G72" s="239" t="s">
        <v>554</v>
      </c>
      <c r="H72" s="232">
        <f>TRUNC(G72*(1-(SINTÉTICA!$I$58)),2)</f>
        <v>4.3499999999999996</v>
      </c>
      <c r="I72" s="228">
        <f>F72*H72/(SUM($K$11:$K1445))</f>
        <v>1.2168092603386306E-5</v>
      </c>
      <c r="K72" s="142">
        <f t="shared" si="0"/>
        <v>3.48</v>
      </c>
    </row>
    <row r="73" spans="1:11" ht="25.5" x14ac:dyDescent="0.2">
      <c r="A73" s="239" t="s">
        <v>116</v>
      </c>
      <c r="B73" s="240" t="s">
        <v>8</v>
      </c>
      <c r="C73" s="240" t="s">
        <v>53</v>
      </c>
      <c r="D73" s="240" t="s">
        <v>43</v>
      </c>
      <c r="E73" s="241" t="s">
        <v>27</v>
      </c>
      <c r="F73" s="239" t="s">
        <v>403</v>
      </c>
      <c r="G73" s="239" t="s">
        <v>211</v>
      </c>
      <c r="H73" s="232">
        <f>TRUNC(G73*(1-(SINTÉTICA!$I$58)),2)</f>
        <v>1.02</v>
      </c>
      <c r="I73" s="228">
        <f>F73*H73/(SUM($K$11:$K1446))</f>
        <v>1.1546361813869283E-5</v>
      </c>
      <c r="K73" s="142">
        <f t="shared" si="0"/>
        <v>3.3021888000000001</v>
      </c>
    </row>
    <row r="74" spans="1:11" x14ac:dyDescent="0.2">
      <c r="A74" s="239" t="s">
        <v>95</v>
      </c>
      <c r="B74" s="240" t="s">
        <v>8</v>
      </c>
      <c r="C74" s="240" t="s">
        <v>52</v>
      </c>
      <c r="D74" s="240" t="s">
        <v>32</v>
      </c>
      <c r="E74" s="241" t="s">
        <v>36</v>
      </c>
      <c r="F74" s="239" t="s">
        <v>404</v>
      </c>
      <c r="G74" s="239" t="s">
        <v>555</v>
      </c>
      <c r="H74" s="232">
        <f>TRUNC(G74*(1-(SINTÉTICA!$I$58)),2)</f>
        <v>0.73</v>
      </c>
      <c r="I74" s="228">
        <f>F74*H74/(SUM($K$11:$K1447))</f>
        <v>8.6589042089750529E-6</v>
      </c>
      <c r="K74" s="142">
        <f t="shared" si="0"/>
        <v>2.4763935999999998</v>
      </c>
    </row>
    <row r="75" spans="1:11" ht="25.5" x14ac:dyDescent="0.2">
      <c r="A75" s="239" t="s">
        <v>88</v>
      </c>
      <c r="B75" s="240" t="s">
        <v>8</v>
      </c>
      <c r="C75" s="240" t="s">
        <v>58</v>
      </c>
      <c r="D75" s="240" t="s">
        <v>43</v>
      </c>
      <c r="E75" s="241" t="s">
        <v>27</v>
      </c>
      <c r="F75" s="239" t="s">
        <v>220</v>
      </c>
      <c r="G75" s="239" t="s">
        <v>252</v>
      </c>
      <c r="H75" s="232">
        <f>TRUNC(G75*(1-(SINTÉTICA!$I$58)),2)</f>
        <v>1.08</v>
      </c>
      <c r="I75" s="228">
        <f>F75*H75/(SUM($K$11:$K1448))</f>
        <v>6.0420873616814773E-6</v>
      </c>
      <c r="K75" s="142">
        <f t="shared" si="0"/>
        <v>1.7280000000000002</v>
      </c>
    </row>
    <row r="76" spans="1:11" x14ac:dyDescent="0.2">
      <c r="A76" s="239" t="s">
        <v>34</v>
      </c>
      <c r="B76" s="240" t="s">
        <v>8</v>
      </c>
      <c r="C76" s="240" t="s">
        <v>35</v>
      </c>
      <c r="D76" s="240" t="s">
        <v>32</v>
      </c>
      <c r="E76" s="241" t="s">
        <v>36</v>
      </c>
      <c r="F76" s="239" t="s">
        <v>249</v>
      </c>
      <c r="G76" s="239" t="s">
        <v>556</v>
      </c>
      <c r="H76" s="232">
        <f>TRUNC(G76*(1-(SINTÉTICA!$I$58)),2)</f>
        <v>9.56</v>
      </c>
      <c r="I76" s="228">
        <f>F76*H76/(SUM($K$11:$K1449))</f>
        <v>5.8832028421705939E-6</v>
      </c>
      <c r="K76" s="142">
        <f t="shared" ref="K76:K86" si="1">F76*H76</f>
        <v>1.6825600000000001</v>
      </c>
    </row>
    <row r="77" spans="1:11" ht="25.5" x14ac:dyDescent="0.2">
      <c r="A77" s="239" t="s">
        <v>117</v>
      </c>
      <c r="B77" s="240" t="s">
        <v>8</v>
      </c>
      <c r="C77" s="240" t="s">
        <v>55</v>
      </c>
      <c r="D77" s="240" t="s">
        <v>43</v>
      </c>
      <c r="E77" s="241" t="s">
        <v>27</v>
      </c>
      <c r="F77" s="239" t="s">
        <v>403</v>
      </c>
      <c r="G77" s="239" t="s">
        <v>213</v>
      </c>
      <c r="H77" s="232">
        <f>TRUNC(G77*(1-(SINTÉTICA!$I$58)),2)</f>
        <v>0.38</v>
      </c>
      <c r="I77" s="228">
        <f>F77*H77/(SUM($K$11:$K1450))</f>
        <v>4.3015857737944394E-6</v>
      </c>
      <c r="K77" s="142">
        <f t="shared" si="1"/>
        <v>1.2302272000000001</v>
      </c>
    </row>
    <row r="78" spans="1:11" ht="25.5" x14ac:dyDescent="0.2">
      <c r="A78" s="239" t="s">
        <v>115</v>
      </c>
      <c r="B78" s="240" t="s">
        <v>8</v>
      </c>
      <c r="C78" s="240" t="s">
        <v>65</v>
      </c>
      <c r="D78" s="240" t="s">
        <v>43</v>
      </c>
      <c r="E78" s="241" t="s">
        <v>27</v>
      </c>
      <c r="F78" s="239" t="s">
        <v>368</v>
      </c>
      <c r="G78" s="239" t="s">
        <v>244</v>
      </c>
      <c r="H78" s="232">
        <f>TRUNC(G78*(1-(SINTÉTICA!$I$58)),2)</f>
        <v>0.01</v>
      </c>
      <c r="I78" s="228">
        <f>F78*H78/(SUM($K$11:$K1451))</f>
        <v>3.6372694574282302E-6</v>
      </c>
      <c r="K78" s="142">
        <f t="shared" si="1"/>
        <v>1.0402368</v>
      </c>
    </row>
    <row r="79" spans="1:11" ht="25.5" x14ac:dyDescent="0.2">
      <c r="A79" s="239" t="s">
        <v>250</v>
      </c>
      <c r="B79" s="240" t="s">
        <v>8</v>
      </c>
      <c r="C79" s="240" t="s">
        <v>251</v>
      </c>
      <c r="D79" s="240" t="s">
        <v>43</v>
      </c>
      <c r="E79" s="241" t="s">
        <v>27</v>
      </c>
      <c r="F79" s="239" t="s">
        <v>396</v>
      </c>
      <c r="G79" s="239" t="s">
        <v>216</v>
      </c>
      <c r="H79" s="232">
        <f>TRUNC(G79*(1-(SINTÉTICA!$I$58)),2)</f>
        <v>0.05</v>
      </c>
      <c r="I79" s="228">
        <f>F79*H79/(SUM($K$11:$K1452))</f>
        <v>2.7972626674451282E-6</v>
      </c>
      <c r="K79" s="142">
        <f t="shared" si="1"/>
        <v>0.8</v>
      </c>
    </row>
    <row r="80" spans="1:11" ht="25.5" x14ac:dyDescent="0.2">
      <c r="A80" s="239" t="s">
        <v>94</v>
      </c>
      <c r="B80" s="240" t="s">
        <v>8</v>
      </c>
      <c r="C80" s="240" t="s">
        <v>54</v>
      </c>
      <c r="D80" s="240" t="s">
        <v>32</v>
      </c>
      <c r="E80" s="241" t="s">
        <v>15</v>
      </c>
      <c r="F80" s="239" t="s">
        <v>405</v>
      </c>
      <c r="G80" s="239" t="s">
        <v>557</v>
      </c>
      <c r="H80" s="232">
        <f>TRUNC(G80*(1-(SINTÉTICA!$I$58)),2)</f>
        <v>59</v>
      </c>
      <c r="I80" s="228">
        <f>F80*H80/(SUM($K$11:$K1453))</f>
        <v>2.7297367466530027E-6</v>
      </c>
      <c r="K80" s="142">
        <f t="shared" si="1"/>
        <v>0.78068800000000005</v>
      </c>
    </row>
    <row r="81" spans="1:11" ht="25.5" x14ac:dyDescent="0.2">
      <c r="A81" s="239" t="s">
        <v>245</v>
      </c>
      <c r="B81" s="240" t="s">
        <v>8</v>
      </c>
      <c r="C81" s="240" t="s">
        <v>246</v>
      </c>
      <c r="D81" s="240" t="s">
        <v>43</v>
      </c>
      <c r="E81" s="241" t="s">
        <v>27</v>
      </c>
      <c r="F81" s="239" t="s">
        <v>323</v>
      </c>
      <c r="G81" s="239" t="s">
        <v>244</v>
      </c>
      <c r="H81" s="232">
        <f>TRUNC(G81*(1-(SINTÉTICA!$I$58)),2)</f>
        <v>0.01</v>
      </c>
      <c r="I81" s="228">
        <f>F81*H81/(SUM($K$11:$K1454))</f>
        <v>2.2378101339561026E-6</v>
      </c>
      <c r="K81" s="142">
        <f t="shared" si="1"/>
        <v>0.64</v>
      </c>
    </row>
    <row r="82" spans="1:11" ht="25.5" x14ac:dyDescent="0.2">
      <c r="A82" s="239" t="s">
        <v>90</v>
      </c>
      <c r="B82" s="240" t="s">
        <v>8</v>
      </c>
      <c r="C82" s="240" t="s">
        <v>60</v>
      </c>
      <c r="D82" s="240" t="s">
        <v>43</v>
      </c>
      <c r="E82" s="241" t="s">
        <v>27</v>
      </c>
      <c r="F82" s="239" t="s">
        <v>220</v>
      </c>
      <c r="G82" s="239" t="s">
        <v>256</v>
      </c>
      <c r="H82" s="232">
        <f>TRUNC(G82*(1-(SINTÉTICA!$I$58)),2)</f>
        <v>0.34</v>
      </c>
      <c r="I82" s="228">
        <f>F82*H82/(SUM($K$11:$K1455))</f>
        <v>1.9021386138626871E-6</v>
      </c>
      <c r="K82" s="142">
        <f t="shared" si="1"/>
        <v>0.54400000000000004</v>
      </c>
    </row>
    <row r="83" spans="1:11" ht="25.5" x14ac:dyDescent="0.2">
      <c r="A83" s="239" t="s">
        <v>106</v>
      </c>
      <c r="B83" s="240" t="s">
        <v>8</v>
      </c>
      <c r="C83" s="240" t="s">
        <v>66</v>
      </c>
      <c r="D83" s="240" t="s">
        <v>32</v>
      </c>
      <c r="E83" s="241" t="s">
        <v>15</v>
      </c>
      <c r="F83" s="239" t="s">
        <v>406</v>
      </c>
      <c r="G83" s="239" t="s">
        <v>558</v>
      </c>
      <c r="H83" s="232">
        <f>TRUNC(G83*(1-(SINTÉTICA!$I$58)),2)</f>
        <v>49.99</v>
      </c>
      <c r="I83" s="228">
        <f>F83*H83/(SUM($K$11:$K1456))</f>
        <v>1.6164944582189272E-6</v>
      </c>
      <c r="K83" s="142">
        <f t="shared" si="1"/>
        <v>0.46230751999999997</v>
      </c>
    </row>
    <row r="84" spans="1:11" x14ac:dyDescent="0.2">
      <c r="A84" s="239" t="s">
        <v>110</v>
      </c>
      <c r="B84" s="240" t="s">
        <v>8</v>
      </c>
      <c r="C84" s="240" t="s">
        <v>59</v>
      </c>
      <c r="D84" s="240" t="s">
        <v>50</v>
      </c>
      <c r="E84" s="241" t="s">
        <v>27</v>
      </c>
      <c r="F84" s="239" t="s">
        <v>257</v>
      </c>
      <c r="G84" s="239" t="s">
        <v>254</v>
      </c>
      <c r="H84" s="232">
        <f>TRUNC(G84*(1-(SINTÉTICA!$I$58)),2)</f>
        <v>12</v>
      </c>
      <c r="I84" s="228">
        <f>F84*H84/(SUM($K$11:$K1457))</f>
        <v>9.9925215637808585E-7</v>
      </c>
      <c r="K84" s="142">
        <f t="shared" si="1"/>
        <v>0.28577999999999998</v>
      </c>
    </row>
    <row r="85" spans="1:11" x14ac:dyDescent="0.2">
      <c r="A85" s="239" t="s">
        <v>103</v>
      </c>
      <c r="B85" s="240" t="s">
        <v>8</v>
      </c>
      <c r="C85" s="240" t="s">
        <v>62</v>
      </c>
      <c r="D85" s="240" t="s">
        <v>32</v>
      </c>
      <c r="E85" s="241" t="s">
        <v>63</v>
      </c>
      <c r="F85" s="239" t="s">
        <v>258</v>
      </c>
      <c r="G85" s="239" t="s">
        <v>559</v>
      </c>
      <c r="H85" s="232">
        <f>TRUNC(G85*(1-(SINTÉTICA!$I$58)),2)</f>
        <v>1</v>
      </c>
      <c r="I85" s="228">
        <f>F85*H85/(SUM($K$11:$K1458))</f>
        <v>5.3147990681457432E-8</v>
      </c>
      <c r="K85" s="142">
        <f t="shared" si="1"/>
        <v>1.52E-2</v>
      </c>
    </row>
    <row r="86" spans="1:11" ht="38.25" x14ac:dyDescent="0.2">
      <c r="A86" s="239" t="s">
        <v>102</v>
      </c>
      <c r="B86" s="240" t="s">
        <v>8</v>
      </c>
      <c r="C86" s="240" t="s">
        <v>64</v>
      </c>
      <c r="D86" s="240" t="s">
        <v>43</v>
      </c>
      <c r="E86" s="241" t="s">
        <v>12</v>
      </c>
      <c r="F86" s="239" t="s">
        <v>259</v>
      </c>
      <c r="G86" s="239" t="s">
        <v>560</v>
      </c>
      <c r="H86" s="232">
        <f>TRUNC(G86*(1-(SINTÉTICA!$I$58)),2)</f>
        <v>4300</v>
      </c>
      <c r="I86" s="228">
        <f>F86*H86/(SUM($K$11:$K1459))</f>
        <v>3.9091745777545665E-8</v>
      </c>
      <c r="K86" s="142">
        <f t="shared" si="1"/>
        <v>1.1180000000000001E-2</v>
      </c>
    </row>
  </sheetData>
  <sheetProtection algorithmName="SHA-512" hashValue="8R4GiovxXPXPuC7ltsqSCP0gdo9FeILh+0jr2nmGPafXEuov4UZXHTZGs3ihr2W0fxgO/M4MK97ztp5MyU9L6Q==" saltValue="zwfYB98++8lvFYJvvd7ETw==" spinCount="100000" sheet="1" objects="1" scenarios="1"/>
  <mergeCells count="9">
    <mergeCell ref="A10:I10"/>
    <mergeCell ref="A8:I8"/>
    <mergeCell ref="A6:I6"/>
    <mergeCell ref="A7:I7"/>
    <mergeCell ref="A1:I1"/>
    <mergeCell ref="A2:I2"/>
    <mergeCell ref="A3:I3"/>
    <mergeCell ref="A4:I4"/>
    <mergeCell ref="A5:I5"/>
  </mergeCells>
  <pageMargins left="0.78740157480314965" right="0.78740157480314965" top="0.78740157480314965" bottom="0.78740157480314965" header="0.51181102362204722" footer="0.51181102362204722"/>
  <pageSetup paperSize="9" scale="45" fitToHeight="0" orientation="portrait" r:id="rId1"/>
  <headerFooter>
    <oddHeader xml:space="preserve">&amp;L </oddHeader>
    <oddFooter>&amp;L &amp;R&amp;P de &amp;N</oddFooter>
  </headerFooter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2"/>
  <dimension ref="A1:E37"/>
  <sheetViews>
    <sheetView view="pageBreakPreview" zoomScale="130" zoomScaleNormal="100" zoomScaleSheetLayoutView="130" workbookViewId="0">
      <selection activeCell="G11" sqref="G11"/>
    </sheetView>
  </sheetViews>
  <sheetFormatPr defaultColWidth="7.875" defaultRowHeight="12.75" x14ac:dyDescent="0.2"/>
  <cols>
    <col min="1" max="1" width="22.875" style="13" customWidth="1"/>
    <col min="2" max="2" width="49.875" style="13" customWidth="1"/>
    <col min="3" max="3" width="9.5" style="13" customWidth="1"/>
    <col min="4" max="4" width="15.125" style="39" customWidth="1"/>
    <col min="5" max="256" width="7.875" style="13"/>
    <col min="257" max="257" width="22.875" style="13" customWidth="1"/>
    <col min="258" max="258" width="49.875" style="13" customWidth="1"/>
    <col min="259" max="259" width="9.5" style="13" customWidth="1"/>
    <col min="260" max="260" width="15.125" style="13" customWidth="1"/>
    <col min="261" max="512" width="7.875" style="13"/>
    <col min="513" max="513" width="22.875" style="13" customWidth="1"/>
    <col min="514" max="514" width="49.875" style="13" customWidth="1"/>
    <col min="515" max="515" width="9.5" style="13" customWidth="1"/>
    <col min="516" max="516" width="15.125" style="13" customWidth="1"/>
    <col min="517" max="768" width="7.875" style="13"/>
    <col min="769" max="769" width="22.875" style="13" customWidth="1"/>
    <col min="770" max="770" width="49.875" style="13" customWidth="1"/>
    <col min="771" max="771" width="9.5" style="13" customWidth="1"/>
    <col min="772" max="772" width="15.125" style="13" customWidth="1"/>
    <col min="773" max="1024" width="7.875" style="13"/>
    <col min="1025" max="1025" width="22.875" style="13" customWidth="1"/>
    <col min="1026" max="1026" width="49.875" style="13" customWidth="1"/>
    <col min="1027" max="1027" width="9.5" style="13" customWidth="1"/>
    <col min="1028" max="1028" width="15.125" style="13" customWidth="1"/>
    <col min="1029" max="1280" width="7.875" style="13"/>
    <col min="1281" max="1281" width="22.875" style="13" customWidth="1"/>
    <col min="1282" max="1282" width="49.875" style="13" customWidth="1"/>
    <col min="1283" max="1283" width="9.5" style="13" customWidth="1"/>
    <col min="1284" max="1284" width="15.125" style="13" customWidth="1"/>
    <col min="1285" max="1536" width="7.875" style="13"/>
    <col min="1537" max="1537" width="22.875" style="13" customWidth="1"/>
    <col min="1538" max="1538" width="49.875" style="13" customWidth="1"/>
    <col min="1539" max="1539" width="9.5" style="13" customWidth="1"/>
    <col min="1540" max="1540" width="15.125" style="13" customWidth="1"/>
    <col min="1541" max="1792" width="7.875" style="13"/>
    <col min="1793" max="1793" width="22.875" style="13" customWidth="1"/>
    <col min="1794" max="1794" width="49.875" style="13" customWidth="1"/>
    <col min="1795" max="1795" width="9.5" style="13" customWidth="1"/>
    <col min="1796" max="1796" width="15.125" style="13" customWidth="1"/>
    <col min="1797" max="2048" width="7.875" style="13"/>
    <col min="2049" max="2049" width="22.875" style="13" customWidth="1"/>
    <col min="2050" max="2050" width="49.875" style="13" customWidth="1"/>
    <col min="2051" max="2051" width="9.5" style="13" customWidth="1"/>
    <col min="2052" max="2052" width="15.125" style="13" customWidth="1"/>
    <col min="2053" max="2304" width="7.875" style="13"/>
    <col min="2305" max="2305" width="22.875" style="13" customWidth="1"/>
    <col min="2306" max="2306" width="49.875" style="13" customWidth="1"/>
    <col min="2307" max="2307" width="9.5" style="13" customWidth="1"/>
    <col min="2308" max="2308" width="15.125" style="13" customWidth="1"/>
    <col min="2309" max="2560" width="7.875" style="13"/>
    <col min="2561" max="2561" width="22.875" style="13" customWidth="1"/>
    <col min="2562" max="2562" width="49.875" style="13" customWidth="1"/>
    <col min="2563" max="2563" width="9.5" style="13" customWidth="1"/>
    <col min="2564" max="2564" width="15.125" style="13" customWidth="1"/>
    <col min="2565" max="2816" width="7.875" style="13"/>
    <col min="2817" max="2817" width="22.875" style="13" customWidth="1"/>
    <col min="2818" max="2818" width="49.875" style="13" customWidth="1"/>
    <col min="2819" max="2819" width="9.5" style="13" customWidth="1"/>
    <col min="2820" max="2820" width="15.125" style="13" customWidth="1"/>
    <col min="2821" max="3072" width="7.875" style="13"/>
    <col min="3073" max="3073" width="22.875" style="13" customWidth="1"/>
    <col min="3074" max="3074" width="49.875" style="13" customWidth="1"/>
    <col min="3075" max="3075" width="9.5" style="13" customWidth="1"/>
    <col min="3076" max="3076" width="15.125" style="13" customWidth="1"/>
    <col min="3077" max="3328" width="7.875" style="13"/>
    <col min="3329" max="3329" width="22.875" style="13" customWidth="1"/>
    <col min="3330" max="3330" width="49.875" style="13" customWidth="1"/>
    <col min="3331" max="3331" width="9.5" style="13" customWidth="1"/>
    <col min="3332" max="3332" width="15.125" style="13" customWidth="1"/>
    <col min="3333" max="3584" width="7.875" style="13"/>
    <col min="3585" max="3585" width="22.875" style="13" customWidth="1"/>
    <col min="3586" max="3586" width="49.875" style="13" customWidth="1"/>
    <col min="3587" max="3587" width="9.5" style="13" customWidth="1"/>
    <col min="3588" max="3588" width="15.125" style="13" customWidth="1"/>
    <col min="3589" max="3840" width="7.875" style="13"/>
    <col min="3841" max="3841" width="22.875" style="13" customWidth="1"/>
    <col min="3842" max="3842" width="49.875" style="13" customWidth="1"/>
    <col min="3843" max="3843" width="9.5" style="13" customWidth="1"/>
    <col min="3844" max="3844" width="15.125" style="13" customWidth="1"/>
    <col min="3845" max="4096" width="7.875" style="13"/>
    <col min="4097" max="4097" width="22.875" style="13" customWidth="1"/>
    <col min="4098" max="4098" width="49.875" style="13" customWidth="1"/>
    <col min="4099" max="4099" width="9.5" style="13" customWidth="1"/>
    <col min="4100" max="4100" width="15.125" style="13" customWidth="1"/>
    <col min="4101" max="4352" width="7.875" style="13"/>
    <col min="4353" max="4353" width="22.875" style="13" customWidth="1"/>
    <col min="4354" max="4354" width="49.875" style="13" customWidth="1"/>
    <col min="4355" max="4355" width="9.5" style="13" customWidth="1"/>
    <col min="4356" max="4356" width="15.125" style="13" customWidth="1"/>
    <col min="4357" max="4608" width="7.875" style="13"/>
    <col min="4609" max="4609" width="22.875" style="13" customWidth="1"/>
    <col min="4610" max="4610" width="49.875" style="13" customWidth="1"/>
    <col min="4611" max="4611" width="9.5" style="13" customWidth="1"/>
    <col min="4612" max="4612" width="15.125" style="13" customWidth="1"/>
    <col min="4613" max="4864" width="7.875" style="13"/>
    <col min="4865" max="4865" width="22.875" style="13" customWidth="1"/>
    <col min="4866" max="4866" width="49.875" style="13" customWidth="1"/>
    <col min="4867" max="4867" width="9.5" style="13" customWidth="1"/>
    <col min="4868" max="4868" width="15.125" style="13" customWidth="1"/>
    <col min="4869" max="5120" width="7.875" style="13"/>
    <col min="5121" max="5121" width="22.875" style="13" customWidth="1"/>
    <col min="5122" max="5122" width="49.875" style="13" customWidth="1"/>
    <col min="5123" max="5123" width="9.5" style="13" customWidth="1"/>
    <col min="5124" max="5124" width="15.125" style="13" customWidth="1"/>
    <col min="5125" max="5376" width="7.875" style="13"/>
    <col min="5377" max="5377" width="22.875" style="13" customWidth="1"/>
    <col min="5378" max="5378" width="49.875" style="13" customWidth="1"/>
    <col min="5379" max="5379" width="9.5" style="13" customWidth="1"/>
    <col min="5380" max="5380" width="15.125" style="13" customWidth="1"/>
    <col min="5381" max="5632" width="7.875" style="13"/>
    <col min="5633" max="5633" width="22.875" style="13" customWidth="1"/>
    <col min="5634" max="5634" width="49.875" style="13" customWidth="1"/>
    <col min="5635" max="5635" width="9.5" style="13" customWidth="1"/>
    <col min="5636" max="5636" width="15.125" style="13" customWidth="1"/>
    <col min="5637" max="5888" width="7.875" style="13"/>
    <col min="5889" max="5889" width="22.875" style="13" customWidth="1"/>
    <col min="5890" max="5890" width="49.875" style="13" customWidth="1"/>
    <col min="5891" max="5891" width="9.5" style="13" customWidth="1"/>
    <col min="5892" max="5892" width="15.125" style="13" customWidth="1"/>
    <col min="5893" max="6144" width="7.875" style="13"/>
    <col min="6145" max="6145" width="22.875" style="13" customWidth="1"/>
    <col min="6146" max="6146" width="49.875" style="13" customWidth="1"/>
    <col min="6147" max="6147" width="9.5" style="13" customWidth="1"/>
    <col min="6148" max="6148" width="15.125" style="13" customWidth="1"/>
    <col min="6149" max="6400" width="7.875" style="13"/>
    <col min="6401" max="6401" width="22.875" style="13" customWidth="1"/>
    <col min="6402" max="6402" width="49.875" style="13" customWidth="1"/>
    <col min="6403" max="6403" width="9.5" style="13" customWidth="1"/>
    <col min="6404" max="6404" width="15.125" style="13" customWidth="1"/>
    <col min="6405" max="6656" width="7.875" style="13"/>
    <col min="6657" max="6657" width="22.875" style="13" customWidth="1"/>
    <col min="6658" max="6658" width="49.875" style="13" customWidth="1"/>
    <col min="6659" max="6659" width="9.5" style="13" customWidth="1"/>
    <col min="6660" max="6660" width="15.125" style="13" customWidth="1"/>
    <col min="6661" max="6912" width="7.875" style="13"/>
    <col min="6913" max="6913" width="22.875" style="13" customWidth="1"/>
    <col min="6914" max="6914" width="49.875" style="13" customWidth="1"/>
    <col min="6915" max="6915" width="9.5" style="13" customWidth="1"/>
    <col min="6916" max="6916" width="15.125" style="13" customWidth="1"/>
    <col min="6917" max="7168" width="7.875" style="13"/>
    <col min="7169" max="7169" width="22.875" style="13" customWidth="1"/>
    <col min="7170" max="7170" width="49.875" style="13" customWidth="1"/>
    <col min="7171" max="7171" width="9.5" style="13" customWidth="1"/>
    <col min="7172" max="7172" width="15.125" style="13" customWidth="1"/>
    <col min="7173" max="7424" width="7.875" style="13"/>
    <col min="7425" max="7425" width="22.875" style="13" customWidth="1"/>
    <col min="7426" max="7426" width="49.875" style="13" customWidth="1"/>
    <col min="7427" max="7427" width="9.5" style="13" customWidth="1"/>
    <col min="7428" max="7428" width="15.125" style="13" customWidth="1"/>
    <col min="7429" max="7680" width="7.875" style="13"/>
    <col min="7681" max="7681" width="22.875" style="13" customWidth="1"/>
    <col min="7682" max="7682" width="49.875" style="13" customWidth="1"/>
    <col min="7683" max="7683" width="9.5" style="13" customWidth="1"/>
    <col min="7684" max="7684" width="15.125" style="13" customWidth="1"/>
    <col min="7685" max="7936" width="7.875" style="13"/>
    <col min="7937" max="7937" width="22.875" style="13" customWidth="1"/>
    <col min="7938" max="7938" width="49.875" style="13" customWidth="1"/>
    <col min="7939" max="7939" width="9.5" style="13" customWidth="1"/>
    <col min="7940" max="7940" width="15.125" style="13" customWidth="1"/>
    <col min="7941" max="8192" width="7.875" style="13"/>
    <col min="8193" max="8193" width="22.875" style="13" customWidth="1"/>
    <col min="8194" max="8194" width="49.875" style="13" customWidth="1"/>
    <col min="8195" max="8195" width="9.5" style="13" customWidth="1"/>
    <col min="8196" max="8196" width="15.125" style="13" customWidth="1"/>
    <col min="8197" max="8448" width="7.875" style="13"/>
    <col min="8449" max="8449" width="22.875" style="13" customWidth="1"/>
    <col min="8450" max="8450" width="49.875" style="13" customWidth="1"/>
    <col min="8451" max="8451" width="9.5" style="13" customWidth="1"/>
    <col min="8452" max="8452" width="15.125" style="13" customWidth="1"/>
    <col min="8453" max="8704" width="7.875" style="13"/>
    <col min="8705" max="8705" width="22.875" style="13" customWidth="1"/>
    <col min="8706" max="8706" width="49.875" style="13" customWidth="1"/>
    <col min="8707" max="8707" width="9.5" style="13" customWidth="1"/>
    <col min="8708" max="8708" width="15.125" style="13" customWidth="1"/>
    <col min="8709" max="8960" width="7.875" style="13"/>
    <col min="8961" max="8961" width="22.875" style="13" customWidth="1"/>
    <col min="8962" max="8962" width="49.875" style="13" customWidth="1"/>
    <col min="8963" max="8963" width="9.5" style="13" customWidth="1"/>
    <col min="8964" max="8964" width="15.125" style="13" customWidth="1"/>
    <col min="8965" max="9216" width="7.875" style="13"/>
    <col min="9217" max="9217" width="22.875" style="13" customWidth="1"/>
    <col min="9218" max="9218" width="49.875" style="13" customWidth="1"/>
    <col min="9219" max="9219" width="9.5" style="13" customWidth="1"/>
    <col min="9220" max="9220" width="15.125" style="13" customWidth="1"/>
    <col min="9221" max="9472" width="7.875" style="13"/>
    <col min="9473" max="9473" width="22.875" style="13" customWidth="1"/>
    <col min="9474" max="9474" width="49.875" style="13" customWidth="1"/>
    <col min="9475" max="9475" width="9.5" style="13" customWidth="1"/>
    <col min="9476" max="9476" width="15.125" style="13" customWidth="1"/>
    <col min="9477" max="9728" width="7.875" style="13"/>
    <col min="9729" max="9729" width="22.875" style="13" customWidth="1"/>
    <col min="9730" max="9730" width="49.875" style="13" customWidth="1"/>
    <col min="9731" max="9731" width="9.5" style="13" customWidth="1"/>
    <col min="9732" max="9732" width="15.125" style="13" customWidth="1"/>
    <col min="9733" max="9984" width="7.875" style="13"/>
    <col min="9985" max="9985" width="22.875" style="13" customWidth="1"/>
    <col min="9986" max="9986" width="49.875" style="13" customWidth="1"/>
    <col min="9987" max="9987" width="9.5" style="13" customWidth="1"/>
    <col min="9988" max="9988" width="15.125" style="13" customWidth="1"/>
    <col min="9989" max="10240" width="7.875" style="13"/>
    <col min="10241" max="10241" width="22.875" style="13" customWidth="1"/>
    <col min="10242" max="10242" width="49.875" style="13" customWidth="1"/>
    <col min="10243" max="10243" width="9.5" style="13" customWidth="1"/>
    <col min="10244" max="10244" width="15.125" style="13" customWidth="1"/>
    <col min="10245" max="10496" width="7.875" style="13"/>
    <col min="10497" max="10497" width="22.875" style="13" customWidth="1"/>
    <col min="10498" max="10498" width="49.875" style="13" customWidth="1"/>
    <col min="10499" max="10499" width="9.5" style="13" customWidth="1"/>
    <col min="10500" max="10500" width="15.125" style="13" customWidth="1"/>
    <col min="10501" max="10752" width="7.875" style="13"/>
    <col min="10753" max="10753" width="22.875" style="13" customWidth="1"/>
    <col min="10754" max="10754" width="49.875" style="13" customWidth="1"/>
    <col min="10755" max="10755" width="9.5" style="13" customWidth="1"/>
    <col min="10756" max="10756" width="15.125" style="13" customWidth="1"/>
    <col min="10757" max="11008" width="7.875" style="13"/>
    <col min="11009" max="11009" width="22.875" style="13" customWidth="1"/>
    <col min="11010" max="11010" width="49.875" style="13" customWidth="1"/>
    <col min="11011" max="11011" width="9.5" style="13" customWidth="1"/>
    <col min="11012" max="11012" width="15.125" style="13" customWidth="1"/>
    <col min="11013" max="11264" width="7.875" style="13"/>
    <col min="11265" max="11265" width="22.875" style="13" customWidth="1"/>
    <col min="11266" max="11266" width="49.875" style="13" customWidth="1"/>
    <col min="11267" max="11267" width="9.5" style="13" customWidth="1"/>
    <col min="11268" max="11268" width="15.125" style="13" customWidth="1"/>
    <col min="11269" max="11520" width="7.875" style="13"/>
    <col min="11521" max="11521" width="22.875" style="13" customWidth="1"/>
    <col min="11522" max="11522" width="49.875" style="13" customWidth="1"/>
    <col min="11523" max="11523" width="9.5" style="13" customWidth="1"/>
    <col min="11524" max="11524" width="15.125" style="13" customWidth="1"/>
    <col min="11525" max="11776" width="7.875" style="13"/>
    <col min="11777" max="11777" width="22.875" style="13" customWidth="1"/>
    <col min="11778" max="11778" width="49.875" style="13" customWidth="1"/>
    <col min="11779" max="11779" width="9.5" style="13" customWidth="1"/>
    <col min="11780" max="11780" width="15.125" style="13" customWidth="1"/>
    <col min="11781" max="12032" width="7.875" style="13"/>
    <col min="12033" max="12033" width="22.875" style="13" customWidth="1"/>
    <col min="12034" max="12034" width="49.875" style="13" customWidth="1"/>
    <col min="12035" max="12035" width="9.5" style="13" customWidth="1"/>
    <col min="12036" max="12036" width="15.125" style="13" customWidth="1"/>
    <col min="12037" max="12288" width="7.875" style="13"/>
    <col min="12289" max="12289" width="22.875" style="13" customWidth="1"/>
    <col min="12290" max="12290" width="49.875" style="13" customWidth="1"/>
    <col min="12291" max="12291" width="9.5" style="13" customWidth="1"/>
    <col min="12292" max="12292" width="15.125" style="13" customWidth="1"/>
    <col min="12293" max="12544" width="7.875" style="13"/>
    <col min="12545" max="12545" width="22.875" style="13" customWidth="1"/>
    <col min="12546" max="12546" width="49.875" style="13" customWidth="1"/>
    <col min="12547" max="12547" width="9.5" style="13" customWidth="1"/>
    <col min="12548" max="12548" width="15.125" style="13" customWidth="1"/>
    <col min="12549" max="12800" width="7.875" style="13"/>
    <col min="12801" max="12801" width="22.875" style="13" customWidth="1"/>
    <col min="12802" max="12802" width="49.875" style="13" customWidth="1"/>
    <col min="12803" max="12803" width="9.5" style="13" customWidth="1"/>
    <col min="12804" max="12804" width="15.125" style="13" customWidth="1"/>
    <col min="12805" max="13056" width="7.875" style="13"/>
    <col min="13057" max="13057" width="22.875" style="13" customWidth="1"/>
    <col min="13058" max="13058" width="49.875" style="13" customWidth="1"/>
    <col min="13059" max="13059" width="9.5" style="13" customWidth="1"/>
    <col min="13060" max="13060" width="15.125" style="13" customWidth="1"/>
    <col min="13061" max="13312" width="7.875" style="13"/>
    <col min="13313" max="13313" width="22.875" style="13" customWidth="1"/>
    <col min="13314" max="13314" width="49.875" style="13" customWidth="1"/>
    <col min="13315" max="13315" width="9.5" style="13" customWidth="1"/>
    <col min="13316" max="13316" width="15.125" style="13" customWidth="1"/>
    <col min="13317" max="13568" width="7.875" style="13"/>
    <col min="13569" max="13569" width="22.875" style="13" customWidth="1"/>
    <col min="13570" max="13570" width="49.875" style="13" customWidth="1"/>
    <col min="13571" max="13571" width="9.5" style="13" customWidth="1"/>
    <col min="13572" max="13572" width="15.125" style="13" customWidth="1"/>
    <col min="13573" max="13824" width="7.875" style="13"/>
    <col min="13825" max="13825" width="22.875" style="13" customWidth="1"/>
    <col min="13826" max="13826" width="49.875" style="13" customWidth="1"/>
    <col min="13827" max="13827" width="9.5" style="13" customWidth="1"/>
    <col min="13828" max="13828" width="15.125" style="13" customWidth="1"/>
    <col min="13829" max="14080" width="7.875" style="13"/>
    <col min="14081" max="14081" width="22.875" style="13" customWidth="1"/>
    <col min="14082" max="14082" width="49.875" style="13" customWidth="1"/>
    <col min="14083" max="14083" width="9.5" style="13" customWidth="1"/>
    <col min="14084" max="14084" width="15.125" style="13" customWidth="1"/>
    <col min="14085" max="14336" width="7.875" style="13"/>
    <col min="14337" max="14337" width="22.875" style="13" customWidth="1"/>
    <col min="14338" max="14338" width="49.875" style="13" customWidth="1"/>
    <col min="14339" max="14339" width="9.5" style="13" customWidth="1"/>
    <col min="14340" max="14340" width="15.125" style="13" customWidth="1"/>
    <col min="14341" max="14592" width="7.875" style="13"/>
    <col min="14593" max="14593" width="22.875" style="13" customWidth="1"/>
    <col min="14594" max="14594" width="49.875" style="13" customWidth="1"/>
    <col min="14595" max="14595" width="9.5" style="13" customWidth="1"/>
    <col min="14596" max="14596" width="15.125" style="13" customWidth="1"/>
    <col min="14597" max="14848" width="7.875" style="13"/>
    <col min="14849" max="14849" width="22.875" style="13" customWidth="1"/>
    <col min="14850" max="14850" width="49.875" style="13" customWidth="1"/>
    <col min="14851" max="14851" width="9.5" style="13" customWidth="1"/>
    <col min="14852" max="14852" width="15.125" style="13" customWidth="1"/>
    <col min="14853" max="15104" width="7.875" style="13"/>
    <col min="15105" max="15105" width="22.875" style="13" customWidth="1"/>
    <col min="15106" max="15106" width="49.875" style="13" customWidth="1"/>
    <col min="15107" max="15107" width="9.5" style="13" customWidth="1"/>
    <col min="15108" max="15108" width="15.125" style="13" customWidth="1"/>
    <col min="15109" max="15360" width="7.875" style="13"/>
    <col min="15361" max="15361" width="22.875" style="13" customWidth="1"/>
    <col min="15362" max="15362" width="49.875" style="13" customWidth="1"/>
    <col min="15363" max="15363" width="9.5" style="13" customWidth="1"/>
    <col min="15364" max="15364" width="15.125" style="13" customWidth="1"/>
    <col min="15365" max="15616" width="7.875" style="13"/>
    <col min="15617" max="15617" width="22.875" style="13" customWidth="1"/>
    <col min="15618" max="15618" width="49.875" style="13" customWidth="1"/>
    <col min="15619" max="15619" width="9.5" style="13" customWidth="1"/>
    <col min="15620" max="15620" width="15.125" style="13" customWidth="1"/>
    <col min="15621" max="15872" width="7.875" style="13"/>
    <col min="15873" max="15873" width="22.875" style="13" customWidth="1"/>
    <col min="15874" max="15874" width="49.875" style="13" customWidth="1"/>
    <col min="15875" max="15875" width="9.5" style="13" customWidth="1"/>
    <col min="15876" max="15876" width="15.125" style="13" customWidth="1"/>
    <col min="15877" max="16128" width="7.875" style="13"/>
    <col min="16129" max="16129" width="22.875" style="13" customWidth="1"/>
    <col min="16130" max="16130" width="49.875" style="13" customWidth="1"/>
    <col min="16131" max="16131" width="9.5" style="13" customWidth="1"/>
    <col min="16132" max="16132" width="15.125" style="13" customWidth="1"/>
    <col min="16133" max="16384" width="7.875" style="13"/>
  </cols>
  <sheetData>
    <row r="1" spans="1:5" s="8" customFormat="1" x14ac:dyDescent="0.2">
      <c r="A1" s="314"/>
      <c r="B1" s="314"/>
      <c r="C1" s="314"/>
      <c r="D1" s="314"/>
    </row>
    <row r="2" spans="1:5" s="8" customFormat="1" x14ac:dyDescent="0.2">
      <c r="A2" s="313" t="s">
        <v>119</v>
      </c>
      <c r="B2" s="313"/>
      <c r="C2" s="313"/>
      <c r="D2" s="313"/>
      <c r="E2" s="9"/>
    </row>
    <row r="3" spans="1:5" s="8" customFormat="1" x14ac:dyDescent="0.2">
      <c r="A3" s="313" t="s">
        <v>120</v>
      </c>
      <c r="B3" s="313"/>
      <c r="C3" s="313"/>
      <c r="D3" s="313"/>
      <c r="E3" s="9"/>
    </row>
    <row r="4" spans="1:5" s="8" customFormat="1" x14ac:dyDescent="0.2">
      <c r="A4" s="314"/>
      <c r="B4" s="314"/>
      <c r="C4" s="314"/>
      <c r="D4" s="314"/>
    </row>
    <row r="5" spans="1:5" s="8" customFormat="1" ht="36" customHeight="1" x14ac:dyDescent="0.2">
      <c r="A5" s="315" t="str">
        <f>INSTRUÇÕES!A6</f>
        <v>OBRA: INSTALAÇÃO DE MICROGERAÇÃO DISTRIBUIDA NA PRM-SANTAREM / PA / MPF</v>
      </c>
      <c r="B5" s="315"/>
      <c r="C5" s="315"/>
      <c r="D5" s="315"/>
      <c r="E5" s="10"/>
    </row>
    <row r="6" spans="1:5" s="8" customFormat="1" x14ac:dyDescent="0.2">
      <c r="A6" s="313" t="s">
        <v>121</v>
      </c>
      <c r="B6" s="313"/>
      <c r="C6" s="313"/>
      <c r="D6" s="313"/>
      <c r="E6" s="9"/>
    </row>
    <row r="7" spans="1:5" s="8" customFormat="1" x14ac:dyDescent="0.2">
      <c r="A7" s="11"/>
      <c r="B7" s="11"/>
      <c r="C7" s="11"/>
      <c r="D7" s="11"/>
      <c r="E7" s="9"/>
    </row>
    <row r="8" spans="1:5" ht="20.100000000000001" customHeight="1" x14ac:dyDescent="0.2">
      <c r="A8" s="12" t="s">
        <v>0</v>
      </c>
      <c r="B8" s="309" t="s">
        <v>122</v>
      </c>
      <c r="C8" s="309"/>
      <c r="D8" s="310"/>
    </row>
    <row r="9" spans="1:5" ht="15" customHeight="1" x14ac:dyDescent="0.2">
      <c r="A9" s="14">
        <v>1</v>
      </c>
      <c r="B9" s="15" t="s">
        <v>123</v>
      </c>
      <c r="C9" s="316" t="s">
        <v>124</v>
      </c>
      <c r="D9" s="16">
        <v>1.1900999999999999</v>
      </c>
    </row>
    <row r="10" spans="1:5" ht="15" customHeight="1" x14ac:dyDescent="0.2">
      <c r="A10" s="17">
        <v>2</v>
      </c>
      <c r="B10" s="18" t="s">
        <v>125</v>
      </c>
      <c r="C10" s="317"/>
      <c r="D10" s="19">
        <v>0.73099999999999998</v>
      </c>
    </row>
    <row r="11" spans="1:5" ht="15" customHeight="1" x14ac:dyDescent="0.2">
      <c r="A11" s="318"/>
      <c r="B11" s="319"/>
      <c r="C11" s="319"/>
      <c r="D11" s="320"/>
    </row>
    <row r="12" spans="1:5" ht="20.100000000000001" customHeight="1" x14ac:dyDescent="0.2">
      <c r="A12" s="12" t="s">
        <v>0</v>
      </c>
      <c r="B12" s="309" t="s">
        <v>126</v>
      </c>
      <c r="C12" s="309"/>
      <c r="D12" s="310"/>
    </row>
    <row r="13" spans="1:5" ht="15" customHeight="1" x14ac:dyDescent="0.2">
      <c r="A13" s="14">
        <v>1</v>
      </c>
      <c r="B13" s="15" t="s">
        <v>127</v>
      </c>
      <c r="C13" s="20" t="s">
        <v>128</v>
      </c>
      <c r="D13" s="21">
        <v>1.2699999999999999E-2</v>
      </c>
    </row>
    <row r="14" spans="1:5" ht="15" customHeight="1" x14ac:dyDescent="0.2">
      <c r="A14" s="22">
        <v>2</v>
      </c>
      <c r="B14" s="23" t="s">
        <v>129</v>
      </c>
      <c r="C14" s="24" t="s">
        <v>130</v>
      </c>
      <c r="D14" s="25">
        <v>5.0000000000000001E-3</v>
      </c>
    </row>
    <row r="15" spans="1:5" ht="15" customHeight="1" x14ac:dyDescent="0.2">
      <c r="A15" s="22">
        <v>3</v>
      </c>
      <c r="B15" s="23" t="s">
        <v>131</v>
      </c>
      <c r="C15" s="24" t="s">
        <v>132</v>
      </c>
      <c r="D15" s="25">
        <v>3.0000000000000001E-3</v>
      </c>
    </row>
    <row r="16" spans="1:5" ht="15" customHeight="1" x14ac:dyDescent="0.2">
      <c r="A16" s="22">
        <v>4</v>
      </c>
      <c r="B16" s="26" t="s">
        <v>133</v>
      </c>
      <c r="C16" s="27" t="s">
        <v>134</v>
      </c>
      <c r="D16" s="28">
        <v>1.23E-2</v>
      </c>
    </row>
    <row r="17" spans="1:4" ht="15" customHeight="1" x14ac:dyDescent="0.2">
      <c r="A17" s="22">
        <v>5</v>
      </c>
      <c r="B17" s="26" t="s">
        <v>135</v>
      </c>
      <c r="C17" s="27" t="s">
        <v>136</v>
      </c>
      <c r="D17" s="28">
        <v>0.04</v>
      </c>
    </row>
    <row r="18" spans="1:4" ht="15" customHeight="1" x14ac:dyDescent="0.2">
      <c r="A18" s="22">
        <v>6</v>
      </c>
      <c r="B18" s="26" t="s">
        <v>137</v>
      </c>
      <c r="C18" s="27" t="s">
        <v>49</v>
      </c>
      <c r="D18" s="28">
        <v>7.3999999999999996E-2</v>
      </c>
    </row>
    <row r="19" spans="1:4" ht="15" customHeight="1" x14ac:dyDescent="0.2">
      <c r="A19" s="22">
        <v>7</v>
      </c>
      <c r="B19" s="26" t="s">
        <v>138</v>
      </c>
      <c r="C19" s="311" t="s">
        <v>139</v>
      </c>
      <c r="D19" s="29">
        <v>0.03</v>
      </c>
    </row>
    <row r="20" spans="1:4" ht="15" customHeight="1" x14ac:dyDescent="0.2">
      <c r="A20" s="22">
        <v>8</v>
      </c>
      <c r="B20" s="26" t="s">
        <v>140</v>
      </c>
      <c r="C20" s="311"/>
      <c r="D20" s="28">
        <v>6.4999999999999997E-3</v>
      </c>
    </row>
    <row r="21" spans="1:4" ht="15" customHeight="1" x14ac:dyDescent="0.2">
      <c r="A21" s="22">
        <v>9</v>
      </c>
      <c r="B21" s="26" t="s">
        <v>141</v>
      </c>
      <c r="C21" s="311"/>
      <c r="D21" s="28">
        <v>0</v>
      </c>
    </row>
    <row r="22" spans="1:4" ht="15" customHeight="1" x14ac:dyDescent="0.2">
      <c r="A22" s="30">
        <v>10</v>
      </c>
      <c r="B22" s="18" t="s">
        <v>142</v>
      </c>
      <c r="C22" s="312"/>
      <c r="D22" s="31">
        <v>0.02</v>
      </c>
    </row>
    <row r="23" spans="1:4" s="36" customFormat="1" ht="39.950000000000003" customHeight="1" x14ac:dyDescent="0.2">
      <c r="A23" s="32" t="s">
        <v>143</v>
      </c>
      <c r="B23" s="33" t="s">
        <v>144</v>
      </c>
      <c r="C23" s="34" t="s">
        <v>118</v>
      </c>
      <c r="D23" s="35">
        <f>((((1+(D13+D14+D15+D17))*(1+D16)*(1+D18))/(1-(SUM(D19:D22))))-1)</f>
        <v>0.22226164190779008</v>
      </c>
    </row>
    <row r="24" spans="1:4" s="36" customFormat="1" x14ac:dyDescent="0.2">
      <c r="D24" s="37"/>
    </row>
    <row r="25" spans="1:4" s="36" customFormat="1" x14ac:dyDescent="0.2">
      <c r="D25" s="37"/>
    </row>
    <row r="26" spans="1:4" x14ac:dyDescent="0.2">
      <c r="A26" s="12" t="s">
        <v>0</v>
      </c>
      <c r="B26" s="309" t="s">
        <v>288</v>
      </c>
      <c r="C26" s="309"/>
      <c r="D26" s="310"/>
    </row>
    <row r="27" spans="1:4" x14ac:dyDescent="0.2">
      <c r="A27" s="14">
        <v>1</v>
      </c>
      <c r="B27" s="15" t="s">
        <v>127</v>
      </c>
      <c r="C27" s="20" t="s">
        <v>128</v>
      </c>
      <c r="D27" s="21">
        <v>5.5999999999999999E-3</v>
      </c>
    </row>
    <row r="28" spans="1:4" x14ac:dyDescent="0.2">
      <c r="A28" s="22">
        <v>2</v>
      </c>
      <c r="B28" s="23" t="s">
        <v>129</v>
      </c>
      <c r="C28" s="24" t="s">
        <v>130</v>
      </c>
      <c r="D28" s="25">
        <v>2E-3</v>
      </c>
    </row>
    <row r="29" spans="1:4" x14ac:dyDescent="0.2">
      <c r="A29" s="22">
        <v>3</v>
      </c>
      <c r="B29" s="23" t="s">
        <v>131</v>
      </c>
      <c r="C29" s="24" t="s">
        <v>132</v>
      </c>
      <c r="D29" s="25">
        <v>1E-3</v>
      </c>
    </row>
    <row r="30" spans="1:4" x14ac:dyDescent="0.2">
      <c r="A30" s="22">
        <v>4</v>
      </c>
      <c r="B30" s="26" t="s">
        <v>133</v>
      </c>
      <c r="C30" s="250" t="s">
        <v>134</v>
      </c>
      <c r="D30" s="28">
        <v>8.5000000000000006E-3</v>
      </c>
    </row>
    <row r="31" spans="1:4" x14ac:dyDescent="0.2">
      <c r="A31" s="22">
        <v>5</v>
      </c>
      <c r="B31" s="26" t="s">
        <v>135</v>
      </c>
      <c r="C31" s="250" t="s">
        <v>136</v>
      </c>
      <c r="D31" s="28">
        <v>1.4999999999999999E-2</v>
      </c>
    </row>
    <row r="32" spans="1:4" x14ac:dyDescent="0.2">
      <c r="A32" s="22">
        <v>6</v>
      </c>
      <c r="B32" s="26" t="s">
        <v>137</v>
      </c>
      <c r="C32" s="250" t="s">
        <v>49</v>
      </c>
      <c r="D32" s="28">
        <v>3.5000000000000003E-2</v>
      </c>
    </row>
    <row r="33" spans="1:4" x14ac:dyDescent="0.2">
      <c r="A33" s="22">
        <v>7</v>
      </c>
      <c r="B33" s="26" t="s">
        <v>138</v>
      </c>
      <c r="C33" s="311" t="s">
        <v>139</v>
      </c>
      <c r="D33" s="29">
        <v>0.03</v>
      </c>
    </row>
    <row r="34" spans="1:4" x14ac:dyDescent="0.2">
      <c r="A34" s="22">
        <v>8</v>
      </c>
      <c r="B34" s="26" t="s">
        <v>140</v>
      </c>
      <c r="C34" s="311"/>
      <c r="D34" s="28">
        <v>6.4999999999999997E-3</v>
      </c>
    </row>
    <row r="35" spans="1:4" x14ac:dyDescent="0.2">
      <c r="A35" s="22">
        <v>9</v>
      </c>
      <c r="B35" s="26" t="s">
        <v>141</v>
      </c>
      <c r="C35" s="311"/>
      <c r="D35" s="28">
        <v>0</v>
      </c>
    </row>
    <row r="36" spans="1:4" x14ac:dyDescent="0.2">
      <c r="A36" s="30">
        <v>10</v>
      </c>
      <c r="B36" s="18" t="s">
        <v>142</v>
      </c>
      <c r="C36" s="312"/>
      <c r="D36" s="31">
        <v>0.02</v>
      </c>
    </row>
    <row r="37" spans="1:4" ht="25.5" x14ac:dyDescent="0.2">
      <c r="A37" s="32" t="s">
        <v>143</v>
      </c>
      <c r="B37" s="33" t="s">
        <v>144</v>
      </c>
      <c r="C37" s="34" t="s">
        <v>118</v>
      </c>
      <c r="D37" s="35">
        <f>((((1+(D27+D28+D29+D31))*(1+D30)*(1+D32))/(1-(SUM(D33:D36))))-1)</f>
        <v>0.13241242289348176</v>
      </c>
    </row>
  </sheetData>
  <sheetProtection algorithmName="SHA-512" hashValue="AdA+Y146X4AGyCp/oNqpKsjeo8zRn9L+qx2aHBVgCDjhsj+JiS9gcE0KaHp3lNNbDMYGoruKILJKmAZD/hVfDg==" saltValue="2u/3ARawV+8PA9jefOk5Xw==" spinCount="100000" sheet="1"/>
  <mergeCells count="13">
    <mergeCell ref="B26:D26"/>
    <mergeCell ref="C33:C36"/>
    <mergeCell ref="A6:D6"/>
    <mergeCell ref="A1:D1"/>
    <mergeCell ref="A2:D2"/>
    <mergeCell ref="A3:D3"/>
    <mergeCell ref="A4:D4"/>
    <mergeCell ref="A5:D5"/>
    <mergeCell ref="B8:D8"/>
    <mergeCell ref="C9:C10"/>
    <mergeCell ref="A11:D11"/>
    <mergeCell ref="B12:D12"/>
    <mergeCell ref="C19:C22"/>
  </mergeCells>
  <pageMargins left="0.78740157480314965" right="0.78740157480314965" top="0.78740157480314965" bottom="0.78740157480314965" header="0.31496062992125984" footer="0.51181102362204722"/>
  <pageSetup paperSize="9" scale="76" orientation="portrait" r:id="rId1"/>
  <headerFooter>
    <oddFooter>&amp;R&amp;P de &amp;N</oddFooter>
  </headerFooter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Plan3"/>
  <dimension ref="A1:J29"/>
  <sheetViews>
    <sheetView view="pageBreakPreview" zoomScale="85" zoomScaleNormal="70" zoomScaleSheetLayoutView="85" workbookViewId="0">
      <selection activeCell="H17" sqref="H17"/>
    </sheetView>
  </sheetViews>
  <sheetFormatPr defaultColWidth="7.875" defaultRowHeight="18" x14ac:dyDescent="0.2"/>
  <cols>
    <col min="1" max="1" width="8.5" style="59" customWidth="1"/>
    <col min="2" max="2" width="57.875" style="64" customWidth="1"/>
    <col min="3" max="3" width="20.25" style="63" customWidth="1"/>
    <col min="4" max="8" width="18.125" style="63" customWidth="1"/>
    <col min="9" max="9" width="18.125" style="50" customWidth="1"/>
    <col min="10" max="10" width="11.875" style="50" customWidth="1"/>
    <col min="11" max="254" width="7.875" style="50"/>
    <col min="255" max="255" width="8.5" style="50" customWidth="1"/>
    <col min="256" max="256" width="57.875" style="50" customWidth="1"/>
    <col min="257" max="257" width="20.25" style="50" customWidth="1"/>
    <col min="258" max="264" width="18.125" style="50" customWidth="1"/>
    <col min="265" max="265" width="9.375" style="50" customWidth="1"/>
    <col min="266" max="266" width="11.875" style="50" customWidth="1"/>
    <col min="267" max="510" width="7.875" style="50"/>
    <col min="511" max="511" width="8.5" style="50" customWidth="1"/>
    <col min="512" max="512" width="57.875" style="50" customWidth="1"/>
    <col min="513" max="513" width="20.25" style="50" customWidth="1"/>
    <col min="514" max="520" width="18.125" style="50" customWidth="1"/>
    <col min="521" max="521" width="9.375" style="50" customWidth="1"/>
    <col min="522" max="522" width="11.875" style="50" customWidth="1"/>
    <col min="523" max="766" width="7.875" style="50"/>
    <col min="767" max="767" width="8.5" style="50" customWidth="1"/>
    <col min="768" max="768" width="57.875" style="50" customWidth="1"/>
    <col min="769" max="769" width="20.25" style="50" customWidth="1"/>
    <col min="770" max="776" width="18.125" style="50" customWidth="1"/>
    <col min="777" max="777" width="9.375" style="50" customWidth="1"/>
    <col min="778" max="778" width="11.875" style="50" customWidth="1"/>
    <col min="779" max="1022" width="7.875" style="50"/>
    <col min="1023" max="1023" width="8.5" style="50" customWidth="1"/>
    <col min="1024" max="1024" width="57.875" style="50" customWidth="1"/>
    <col min="1025" max="1025" width="20.25" style="50" customWidth="1"/>
    <col min="1026" max="1032" width="18.125" style="50" customWidth="1"/>
    <col min="1033" max="1033" width="9.375" style="50" customWidth="1"/>
    <col min="1034" max="1034" width="11.875" style="50" customWidth="1"/>
    <col min="1035" max="1278" width="7.875" style="50"/>
    <col min="1279" max="1279" width="8.5" style="50" customWidth="1"/>
    <col min="1280" max="1280" width="57.875" style="50" customWidth="1"/>
    <col min="1281" max="1281" width="20.25" style="50" customWidth="1"/>
    <col min="1282" max="1288" width="18.125" style="50" customWidth="1"/>
    <col min="1289" max="1289" width="9.375" style="50" customWidth="1"/>
    <col min="1290" max="1290" width="11.875" style="50" customWidth="1"/>
    <col min="1291" max="1534" width="7.875" style="50"/>
    <col min="1535" max="1535" width="8.5" style="50" customWidth="1"/>
    <col min="1536" max="1536" width="57.875" style="50" customWidth="1"/>
    <col min="1537" max="1537" width="20.25" style="50" customWidth="1"/>
    <col min="1538" max="1544" width="18.125" style="50" customWidth="1"/>
    <col min="1545" max="1545" width="9.375" style="50" customWidth="1"/>
    <col min="1546" max="1546" width="11.875" style="50" customWidth="1"/>
    <col min="1547" max="1790" width="7.875" style="50"/>
    <col min="1791" max="1791" width="8.5" style="50" customWidth="1"/>
    <col min="1792" max="1792" width="57.875" style="50" customWidth="1"/>
    <col min="1793" max="1793" width="20.25" style="50" customWidth="1"/>
    <col min="1794" max="1800" width="18.125" style="50" customWidth="1"/>
    <col min="1801" max="1801" width="9.375" style="50" customWidth="1"/>
    <col min="1802" max="1802" width="11.875" style="50" customWidth="1"/>
    <col min="1803" max="2046" width="7.875" style="50"/>
    <col min="2047" max="2047" width="8.5" style="50" customWidth="1"/>
    <col min="2048" max="2048" width="57.875" style="50" customWidth="1"/>
    <col min="2049" max="2049" width="20.25" style="50" customWidth="1"/>
    <col min="2050" max="2056" width="18.125" style="50" customWidth="1"/>
    <col min="2057" max="2057" width="9.375" style="50" customWidth="1"/>
    <col min="2058" max="2058" width="11.875" style="50" customWidth="1"/>
    <col min="2059" max="2302" width="7.875" style="50"/>
    <col min="2303" max="2303" width="8.5" style="50" customWidth="1"/>
    <col min="2304" max="2304" width="57.875" style="50" customWidth="1"/>
    <col min="2305" max="2305" width="20.25" style="50" customWidth="1"/>
    <col min="2306" max="2312" width="18.125" style="50" customWidth="1"/>
    <col min="2313" max="2313" width="9.375" style="50" customWidth="1"/>
    <col min="2314" max="2314" width="11.875" style="50" customWidth="1"/>
    <col min="2315" max="2558" width="7.875" style="50"/>
    <col min="2559" max="2559" width="8.5" style="50" customWidth="1"/>
    <col min="2560" max="2560" width="57.875" style="50" customWidth="1"/>
    <col min="2561" max="2561" width="20.25" style="50" customWidth="1"/>
    <col min="2562" max="2568" width="18.125" style="50" customWidth="1"/>
    <col min="2569" max="2569" width="9.375" style="50" customWidth="1"/>
    <col min="2570" max="2570" width="11.875" style="50" customWidth="1"/>
    <col min="2571" max="2814" width="7.875" style="50"/>
    <col min="2815" max="2815" width="8.5" style="50" customWidth="1"/>
    <col min="2816" max="2816" width="57.875" style="50" customWidth="1"/>
    <col min="2817" max="2817" width="20.25" style="50" customWidth="1"/>
    <col min="2818" max="2824" width="18.125" style="50" customWidth="1"/>
    <col min="2825" max="2825" width="9.375" style="50" customWidth="1"/>
    <col min="2826" max="2826" width="11.875" style="50" customWidth="1"/>
    <col min="2827" max="3070" width="7.875" style="50"/>
    <col min="3071" max="3071" width="8.5" style="50" customWidth="1"/>
    <col min="3072" max="3072" width="57.875" style="50" customWidth="1"/>
    <col min="3073" max="3073" width="20.25" style="50" customWidth="1"/>
    <col min="3074" max="3080" width="18.125" style="50" customWidth="1"/>
    <col min="3081" max="3081" width="9.375" style="50" customWidth="1"/>
    <col min="3082" max="3082" width="11.875" style="50" customWidth="1"/>
    <col min="3083" max="3326" width="7.875" style="50"/>
    <col min="3327" max="3327" width="8.5" style="50" customWidth="1"/>
    <col min="3328" max="3328" width="57.875" style="50" customWidth="1"/>
    <col min="3329" max="3329" width="20.25" style="50" customWidth="1"/>
    <col min="3330" max="3336" width="18.125" style="50" customWidth="1"/>
    <col min="3337" max="3337" width="9.375" style="50" customWidth="1"/>
    <col min="3338" max="3338" width="11.875" style="50" customWidth="1"/>
    <col min="3339" max="3582" width="7.875" style="50"/>
    <col min="3583" max="3583" width="8.5" style="50" customWidth="1"/>
    <col min="3584" max="3584" width="57.875" style="50" customWidth="1"/>
    <col min="3585" max="3585" width="20.25" style="50" customWidth="1"/>
    <col min="3586" max="3592" width="18.125" style="50" customWidth="1"/>
    <col min="3593" max="3593" width="9.375" style="50" customWidth="1"/>
    <col min="3594" max="3594" width="11.875" style="50" customWidth="1"/>
    <col min="3595" max="3838" width="7.875" style="50"/>
    <col min="3839" max="3839" width="8.5" style="50" customWidth="1"/>
    <col min="3840" max="3840" width="57.875" style="50" customWidth="1"/>
    <col min="3841" max="3841" width="20.25" style="50" customWidth="1"/>
    <col min="3842" max="3848" width="18.125" style="50" customWidth="1"/>
    <col min="3849" max="3849" width="9.375" style="50" customWidth="1"/>
    <col min="3850" max="3850" width="11.875" style="50" customWidth="1"/>
    <col min="3851" max="4094" width="7.875" style="50"/>
    <col min="4095" max="4095" width="8.5" style="50" customWidth="1"/>
    <col min="4096" max="4096" width="57.875" style="50" customWidth="1"/>
    <col min="4097" max="4097" width="20.25" style="50" customWidth="1"/>
    <col min="4098" max="4104" width="18.125" style="50" customWidth="1"/>
    <col min="4105" max="4105" width="9.375" style="50" customWidth="1"/>
    <col min="4106" max="4106" width="11.875" style="50" customWidth="1"/>
    <col min="4107" max="4350" width="7.875" style="50"/>
    <col min="4351" max="4351" width="8.5" style="50" customWidth="1"/>
    <col min="4352" max="4352" width="57.875" style="50" customWidth="1"/>
    <col min="4353" max="4353" width="20.25" style="50" customWidth="1"/>
    <col min="4354" max="4360" width="18.125" style="50" customWidth="1"/>
    <col min="4361" max="4361" width="9.375" style="50" customWidth="1"/>
    <col min="4362" max="4362" width="11.875" style="50" customWidth="1"/>
    <col min="4363" max="4606" width="7.875" style="50"/>
    <col min="4607" max="4607" width="8.5" style="50" customWidth="1"/>
    <col min="4608" max="4608" width="57.875" style="50" customWidth="1"/>
    <col min="4609" max="4609" width="20.25" style="50" customWidth="1"/>
    <col min="4610" max="4616" width="18.125" style="50" customWidth="1"/>
    <col min="4617" max="4617" width="9.375" style="50" customWidth="1"/>
    <col min="4618" max="4618" width="11.875" style="50" customWidth="1"/>
    <col min="4619" max="4862" width="7.875" style="50"/>
    <col min="4863" max="4863" width="8.5" style="50" customWidth="1"/>
    <col min="4864" max="4864" width="57.875" style="50" customWidth="1"/>
    <col min="4865" max="4865" width="20.25" style="50" customWidth="1"/>
    <col min="4866" max="4872" width="18.125" style="50" customWidth="1"/>
    <col min="4873" max="4873" width="9.375" style="50" customWidth="1"/>
    <col min="4874" max="4874" width="11.875" style="50" customWidth="1"/>
    <col min="4875" max="5118" width="7.875" style="50"/>
    <col min="5119" max="5119" width="8.5" style="50" customWidth="1"/>
    <col min="5120" max="5120" width="57.875" style="50" customWidth="1"/>
    <col min="5121" max="5121" width="20.25" style="50" customWidth="1"/>
    <col min="5122" max="5128" width="18.125" style="50" customWidth="1"/>
    <col min="5129" max="5129" width="9.375" style="50" customWidth="1"/>
    <col min="5130" max="5130" width="11.875" style="50" customWidth="1"/>
    <col min="5131" max="5374" width="7.875" style="50"/>
    <col min="5375" max="5375" width="8.5" style="50" customWidth="1"/>
    <col min="5376" max="5376" width="57.875" style="50" customWidth="1"/>
    <col min="5377" max="5377" width="20.25" style="50" customWidth="1"/>
    <col min="5378" max="5384" width="18.125" style="50" customWidth="1"/>
    <col min="5385" max="5385" width="9.375" style="50" customWidth="1"/>
    <col min="5386" max="5386" width="11.875" style="50" customWidth="1"/>
    <col min="5387" max="5630" width="7.875" style="50"/>
    <col min="5631" max="5631" width="8.5" style="50" customWidth="1"/>
    <col min="5632" max="5632" width="57.875" style="50" customWidth="1"/>
    <col min="5633" max="5633" width="20.25" style="50" customWidth="1"/>
    <col min="5634" max="5640" width="18.125" style="50" customWidth="1"/>
    <col min="5641" max="5641" width="9.375" style="50" customWidth="1"/>
    <col min="5642" max="5642" width="11.875" style="50" customWidth="1"/>
    <col min="5643" max="5886" width="7.875" style="50"/>
    <col min="5887" max="5887" width="8.5" style="50" customWidth="1"/>
    <col min="5888" max="5888" width="57.875" style="50" customWidth="1"/>
    <col min="5889" max="5889" width="20.25" style="50" customWidth="1"/>
    <col min="5890" max="5896" width="18.125" style="50" customWidth="1"/>
    <col min="5897" max="5897" width="9.375" style="50" customWidth="1"/>
    <col min="5898" max="5898" width="11.875" style="50" customWidth="1"/>
    <col min="5899" max="6142" width="7.875" style="50"/>
    <col min="6143" max="6143" width="8.5" style="50" customWidth="1"/>
    <col min="6144" max="6144" width="57.875" style="50" customWidth="1"/>
    <col min="6145" max="6145" width="20.25" style="50" customWidth="1"/>
    <col min="6146" max="6152" width="18.125" style="50" customWidth="1"/>
    <col min="6153" max="6153" width="9.375" style="50" customWidth="1"/>
    <col min="6154" max="6154" width="11.875" style="50" customWidth="1"/>
    <col min="6155" max="6398" width="7.875" style="50"/>
    <col min="6399" max="6399" width="8.5" style="50" customWidth="1"/>
    <col min="6400" max="6400" width="57.875" style="50" customWidth="1"/>
    <col min="6401" max="6401" width="20.25" style="50" customWidth="1"/>
    <col min="6402" max="6408" width="18.125" style="50" customWidth="1"/>
    <col min="6409" max="6409" width="9.375" style="50" customWidth="1"/>
    <col min="6410" max="6410" width="11.875" style="50" customWidth="1"/>
    <col min="6411" max="6654" width="7.875" style="50"/>
    <col min="6655" max="6655" width="8.5" style="50" customWidth="1"/>
    <col min="6656" max="6656" width="57.875" style="50" customWidth="1"/>
    <col min="6657" max="6657" width="20.25" style="50" customWidth="1"/>
    <col min="6658" max="6664" width="18.125" style="50" customWidth="1"/>
    <col min="6665" max="6665" width="9.375" style="50" customWidth="1"/>
    <col min="6666" max="6666" width="11.875" style="50" customWidth="1"/>
    <col min="6667" max="6910" width="7.875" style="50"/>
    <col min="6911" max="6911" width="8.5" style="50" customWidth="1"/>
    <col min="6912" max="6912" width="57.875" style="50" customWidth="1"/>
    <col min="6913" max="6913" width="20.25" style="50" customWidth="1"/>
    <col min="6914" max="6920" width="18.125" style="50" customWidth="1"/>
    <col min="6921" max="6921" width="9.375" style="50" customWidth="1"/>
    <col min="6922" max="6922" width="11.875" style="50" customWidth="1"/>
    <col min="6923" max="7166" width="7.875" style="50"/>
    <col min="7167" max="7167" width="8.5" style="50" customWidth="1"/>
    <col min="7168" max="7168" width="57.875" style="50" customWidth="1"/>
    <col min="7169" max="7169" width="20.25" style="50" customWidth="1"/>
    <col min="7170" max="7176" width="18.125" style="50" customWidth="1"/>
    <col min="7177" max="7177" width="9.375" style="50" customWidth="1"/>
    <col min="7178" max="7178" width="11.875" style="50" customWidth="1"/>
    <col min="7179" max="7422" width="7.875" style="50"/>
    <col min="7423" max="7423" width="8.5" style="50" customWidth="1"/>
    <col min="7424" max="7424" width="57.875" style="50" customWidth="1"/>
    <col min="7425" max="7425" width="20.25" style="50" customWidth="1"/>
    <col min="7426" max="7432" width="18.125" style="50" customWidth="1"/>
    <col min="7433" max="7433" width="9.375" style="50" customWidth="1"/>
    <col min="7434" max="7434" width="11.875" style="50" customWidth="1"/>
    <col min="7435" max="7678" width="7.875" style="50"/>
    <col min="7679" max="7679" width="8.5" style="50" customWidth="1"/>
    <col min="7680" max="7680" width="57.875" style="50" customWidth="1"/>
    <col min="7681" max="7681" width="20.25" style="50" customWidth="1"/>
    <col min="7682" max="7688" width="18.125" style="50" customWidth="1"/>
    <col min="7689" max="7689" width="9.375" style="50" customWidth="1"/>
    <col min="7690" max="7690" width="11.875" style="50" customWidth="1"/>
    <col min="7691" max="7934" width="7.875" style="50"/>
    <col min="7935" max="7935" width="8.5" style="50" customWidth="1"/>
    <col min="7936" max="7936" width="57.875" style="50" customWidth="1"/>
    <col min="7937" max="7937" width="20.25" style="50" customWidth="1"/>
    <col min="7938" max="7944" width="18.125" style="50" customWidth="1"/>
    <col min="7945" max="7945" width="9.375" style="50" customWidth="1"/>
    <col min="7946" max="7946" width="11.875" style="50" customWidth="1"/>
    <col min="7947" max="8190" width="7.875" style="50"/>
    <col min="8191" max="8191" width="8.5" style="50" customWidth="1"/>
    <col min="8192" max="8192" width="57.875" style="50" customWidth="1"/>
    <col min="8193" max="8193" width="20.25" style="50" customWidth="1"/>
    <col min="8194" max="8200" width="18.125" style="50" customWidth="1"/>
    <col min="8201" max="8201" width="9.375" style="50" customWidth="1"/>
    <col min="8202" max="8202" width="11.875" style="50" customWidth="1"/>
    <col min="8203" max="8446" width="7.875" style="50"/>
    <col min="8447" max="8447" width="8.5" style="50" customWidth="1"/>
    <col min="8448" max="8448" width="57.875" style="50" customWidth="1"/>
    <col min="8449" max="8449" width="20.25" style="50" customWidth="1"/>
    <col min="8450" max="8456" width="18.125" style="50" customWidth="1"/>
    <col min="8457" max="8457" width="9.375" style="50" customWidth="1"/>
    <col min="8458" max="8458" width="11.875" style="50" customWidth="1"/>
    <col min="8459" max="8702" width="7.875" style="50"/>
    <col min="8703" max="8703" width="8.5" style="50" customWidth="1"/>
    <col min="8704" max="8704" width="57.875" style="50" customWidth="1"/>
    <col min="8705" max="8705" width="20.25" style="50" customWidth="1"/>
    <col min="8706" max="8712" width="18.125" style="50" customWidth="1"/>
    <col min="8713" max="8713" width="9.375" style="50" customWidth="1"/>
    <col min="8714" max="8714" width="11.875" style="50" customWidth="1"/>
    <col min="8715" max="8958" width="7.875" style="50"/>
    <col min="8959" max="8959" width="8.5" style="50" customWidth="1"/>
    <col min="8960" max="8960" width="57.875" style="50" customWidth="1"/>
    <col min="8961" max="8961" width="20.25" style="50" customWidth="1"/>
    <col min="8962" max="8968" width="18.125" style="50" customWidth="1"/>
    <col min="8969" max="8969" width="9.375" style="50" customWidth="1"/>
    <col min="8970" max="8970" width="11.875" style="50" customWidth="1"/>
    <col min="8971" max="9214" width="7.875" style="50"/>
    <col min="9215" max="9215" width="8.5" style="50" customWidth="1"/>
    <col min="9216" max="9216" width="57.875" style="50" customWidth="1"/>
    <col min="9217" max="9217" width="20.25" style="50" customWidth="1"/>
    <col min="9218" max="9224" width="18.125" style="50" customWidth="1"/>
    <col min="9225" max="9225" width="9.375" style="50" customWidth="1"/>
    <col min="9226" max="9226" width="11.875" style="50" customWidth="1"/>
    <col min="9227" max="9470" width="7.875" style="50"/>
    <col min="9471" max="9471" width="8.5" style="50" customWidth="1"/>
    <col min="9472" max="9472" width="57.875" style="50" customWidth="1"/>
    <col min="9473" max="9473" width="20.25" style="50" customWidth="1"/>
    <col min="9474" max="9480" width="18.125" style="50" customWidth="1"/>
    <col min="9481" max="9481" width="9.375" style="50" customWidth="1"/>
    <col min="9482" max="9482" width="11.875" style="50" customWidth="1"/>
    <col min="9483" max="9726" width="7.875" style="50"/>
    <col min="9727" max="9727" width="8.5" style="50" customWidth="1"/>
    <col min="9728" max="9728" width="57.875" style="50" customWidth="1"/>
    <col min="9729" max="9729" width="20.25" style="50" customWidth="1"/>
    <col min="9730" max="9736" width="18.125" style="50" customWidth="1"/>
    <col min="9737" max="9737" width="9.375" style="50" customWidth="1"/>
    <col min="9738" max="9738" width="11.875" style="50" customWidth="1"/>
    <col min="9739" max="9982" width="7.875" style="50"/>
    <col min="9983" max="9983" width="8.5" style="50" customWidth="1"/>
    <col min="9984" max="9984" width="57.875" style="50" customWidth="1"/>
    <col min="9985" max="9985" width="20.25" style="50" customWidth="1"/>
    <col min="9986" max="9992" width="18.125" style="50" customWidth="1"/>
    <col min="9993" max="9993" width="9.375" style="50" customWidth="1"/>
    <col min="9994" max="9994" width="11.875" style="50" customWidth="1"/>
    <col min="9995" max="10238" width="7.875" style="50"/>
    <col min="10239" max="10239" width="8.5" style="50" customWidth="1"/>
    <col min="10240" max="10240" width="57.875" style="50" customWidth="1"/>
    <col min="10241" max="10241" width="20.25" style="50" customWidth="1"/>
    <col min="10242" max="10248" width="18.125" style="50" customWidth="1"/>
    <col min="10249" max="10249" width="9.375" style="50" customWidth="1"/>
    <col min="10250" max="10250" width="11.875" style="50" customWidth="1"/>
    <col min="10251" max="10494" width="7.875" style="50"/>
    <col min="10495" max="10495" width="8.5" style="50" customWidth="1"/>
    <col min="10496" max="10496" width="57.875" style="50" customWidth="1"/>
    <col min="10497" max="10497" width="20.25" style="50" customWidth="1"/>
    <col min="10498" max="10504" width="18.125" style="50" customWidth="1"/>
    <col min="10505" max="10505" width="9.375" style="50" customWidth="1"/>
    <col min="10506" max="10506" width="11.875" style="50" customWidth="1"/>
    <col min="10507" max="10750" width="7.875" style="50"/>
    <col min="10751" max="10751" width="8.5" style="50" customWidth="1"/>
    <col min="10752" max="10752" width="57.875" style="50" customWidth="1"/>
    <col min="10753" max="10753" width="20.25" style="50" customWidth="1"/>
    <col min="10754" max="10760" width="18.125" style="50" customWidth="1"/>
    <col min="10761" max="10761" width="9.375" style="50" customWidth="1"/>
    <col min="10762" max="10762" width="11.875" style="50" customWidth="1"/>
    <col min="10763" max="11006" width="7.875" style="50"/>
    <col min="11007" max="11007" width="8.5" style="50" customWidth="1"/>
    <col min="11008" max="11008" width="57.875" style="50" customWidth="1"/>
    <col min="11009" max="11009" width="20.25" style="50" customWidth="1"/>
    <col min="11010" max="11016" width="18.125" style="50" customWidth="1"/>
    <col min="11017" max="11017" width="9.375" style="50" customWidth="1"/>
    <col min="11018" max="11018" width="11.875" style="50" customWidth="1"/>
    <col min="11019" max="11262" width="7.875" style="50"/>
    <col min="11263" max="11263" width="8.5" style="50" customWidth="1"/>
    <col min="11264" max="11264" width="57.875" style="50" customWidth="1"/>
    <col min="11265" max="11265" width="20.25" style="50" customWidth="1"/>
    <col min="11266" max="11272" width="18.125" style="50" customWidth="1"/>
    <col min="11273" max="11273" width="9.375" style="50" customWidth="1"/>
    <col min="11274" max="11274" width="11.875" style="50" customWidth="1"/>
    <col min="11275" max="11518" width="7.875" style="50"/>
    <col min="11519" max="11519" width="8.5" style="50" customWidth="1"/>
    <col min="11520" max="11520" width="57.875" style="50" customWidth="1"/>
    <col min="11521" max="11521" width="20.25" style="50" customWidth="1"/>
    <col min="11522" max="11528" width="18.125" style="50" customWidth="1"/>
    <col min="11529" max="11529" width="9.375" style="50" customWidth="1"/>
    <col min="11530" max="11530" width="11.875" style="50" customWidth="1"/>
    <col min="11531" max="11774" width="7.875" style="50"/>
    <col min="11775" max="11775" width="8.5" style="50" customWidth="1"/>
    <col min="11776" max="11776" width="57.875" style="50" customWidth="1"/>
    <col min="11777" max="11777" width="20.25" style="50" customWidth="1"/>
    <col min="11778" max="11784" width="18.125" style="50" customWidth="1"/>
    <col min="11785" max="11785" width="9.375" style="50" customWidth="1"/>
    <col min="11786" max="11786" width="11.875" style="50" customWidth="1"/>
    <col min="11787" max="12030" width="7.875" style="50"/>
    <col min="12031" max="12031" width="8.5" style="50" customWidth="1"/>
    <col min="12032" max="12032" width="57.875" style="50" customWidth="1"/>
    <col min="12033" max="12033" width="20.25" style="50" customWidth="1"/>
    <col min="12034" max="12040" width="18.125" style="50" customWidth="1"/>
    <col min="12041" max="12041" width="9.375" style="50" customWidth="1"/>
    <col min="12042" max="12042" width="11.875" style="50" customWidth="1"/>
    <col min="12043" max="12286" width="7.875" style="50"/>
    <col min="12287" max="12287" width="8.5" style="50" customWidth="1"/>
    <col min="12288" max="12288" width="57.875" style="50" customWidth="1"/>
    <col min="12289" max="12289" width="20.25" style="50" customWidth="1"/>
    <col min="12290" max="12296" width="18.125" style="50" customWidth="1"/>
    <col min="12297" max="12297" width="9.375" style="50" customWidth="1"/>
    <col min="12298" max="12298" width="11.875" style="50" customWidth="1"/>
    <col min="12299" max="12542" width="7.875" style="50"/>
    <col min="12543" max="12543" width="8.5" style="50" customWidth="1"/>
    <col min="12544" max="12544" width="57.875" style="50" customWidth="1"/>
    <col min="12545" max="12545" width="20.25" style="50" customWidth="1"/>
    <col min="12546" max="12552" width="18.125" style="50" customWidth="1"/>
    <col min="12553" max="12553" width="9.375" style="50" customWidth="1"/>
    <col min="12554" max="12554" width="11.875" style="50" customWidth="1"/>
    <col min="12555" max="12798" width="7.875" style="50"/>
    <col min="12799" max="12799" width="8.5" style="50" customWidth="1"/>
    <col min="12800" max="12800" width="57.875" style="50" customWidth="1"/>
    <col min="12801" max="12801" width="20.25" style="50" customWidth="1"/>
    <col min="12802" max="12808" width="18.125" style="50" customWidth="1"/>
    <col min="12809" max="12809" width="9.375" style="50" customWidth="1"/>
    <col min="12810" max="12810" width="11.875" style="50" customWidth="1"/>
    <col min="12811" max="13054" width="7.875" style="50"/>
    <col min="13055" max="13055" width="8.5" style="50" customWidth="1"/>
    <col min="13056" max="13056" width="57.875" style="50" customWidth="1"/>
    <col min="13057" max="13057" width="20.25" style="50" customWidth="1"/>
    <col min="13058" max="13064" width="18.125" style="50" customWidth="1"/>
    <col min="13065" max="13065" width="9.375" style="50" customWidth="1"/>
    <col min="13066" max="13066" width="11.875" style="50" customWidth="1"/>
    <col min="13067" max="13310" width="7.875" style="50"/>
    <col min="13311" max="13311" width="8.5" style="50" customWidth="1"/>
    <col min="13312" max="13312" width="57.875" style="50" customWidth="1"/>
    <col min="13313" max="13313" width="20.25" style="50" customWidth="1"/>
    <col min="13314" max="13320" width="18.125" style="50" customWidth="1"/>
    <col min="13321" max="13321" width="9.375" style="50" customWidth="1"/>
    <col min="13322" max="13322" width="11.875" style="50" customWidth="1"/>
    <col min="13323" max="13566" width="7.875" style="50"/>
    <col min="13567" max="13567" width="8.5" style="50" customWidth="1"/>
    <col min="13568" max="13568" width="57.875" style="50" customWidth="1"/>
    <col min="13569" max="13569" width="20.25" style="50" customWidth="1"/>
    <col min="13570" max="13576" width="18.125" style="50" customWidth="1"/>
    <col min="13577" max="13577" width="9.375" style="50" customWidth="1"/>
    <col min="13578" max="13578" width="11.875" style="50" customWidth="1"/>
    <col min="13579" max="13822" width="7.875" style="50"/>
    <col min="13823" max="13823" width="8.5" style="50" customWidth="1"/>
    <col min="13824" max="13824" width="57.875" style="50" customWidth="1"/>
    <col min="13825" max="13825" width="20.25" style="50" customWidth="1"/>
    <col min="13826" max="13832" width="18.125" style="50" customWidth="1"/>
    <col min="13833" max="13833" width="9.375" style="50" customWidth="1"/>
    <col min="13834" max="13834" width="11.875" style="50" customWidth="1"/>
    <col min="13835" max="14078" width="7.875" style="50"/>
    <col min="14079" max="14079" width="8.5" style="50" customWidth="1"/>
    <col min="14080" max="14080" width="57.875" style="50" customWidth="1"/>
    <col min="14081" max="14081" width="20.25" style="50" customWidth="1"/>
    <col min="14082" max="14088" width="18.125" style="50" customWidth="1"/>
    <col min="14089" max="14089" width="9.375" style="50" customWidth="1"/>
    <col min="14090" max="14090" width="11.875" style="50" customWidth="1"/>
    <col min="14091" max="14334" width="7.875" style="50"/>
    <col min="14335" max="14335" width="8.5" style="50" customWidth="1"/>
    <col min="14336" max="14336" width="57.875" style="50" customWidth="1"/>
    <col min="14337" max="14337" width="20.25" style="50" customWidth="1"/>
    <col min="14338" max="14344" width="18.125" style="50" customWidth="1"/>
    <col min="14345" max="14345" width="9.375" style="50" customWidth="1"/>
    <col min="14346" max="14346" width="11.875" style="50" customWidth="1"/>
    <col min="14347" max="14590" width="7.875" style="50"/>
    <col min="14591" max="14591" width="8.5" style="50" customWidth="1"/>
    <col min="14592" max="14592" width="57.875" style="50" customWidth="1"/>
    <col min="14593" max="14593" width="20.25" style="50" customWidth="1"/>
    <col min="14594" max="14600" width="18.125" style="50" customWidth="1"/>
    <col min="14601" max="14601" width="9.375" style="50" customWidth="1"/>
    <col min="14602" max="14602" width="11.875" style="50" customWidth="1"/>
    <col min="14603" max="14846" width="7.875" style="50"/>
    <col min="14847" max="14847" width="8.5" style="50" customWidth="1"/>
    <col min="14848" max="14848" width="57.875" style="50" customWidth="1"/>
    <col min="14849" max="14849" width="20.25" style="50" customWidth="1"/>
    <col min="14850" max="14856" width="18.125" style="50" customWidth="1"/>
    <col min="14857" max="14857" width="9.375" style="50" customWidth="1"/>
    <col min="14858" max="14858" width="11.875" style="50" customWidth="1"/>
    <col min="14859" max="15102" width="7.875" style="50"/>
    <col min="15103" max="15103" width="8.5" style="50" customWidth="1"/>
    <col min="15104" max="15104" width="57.875" style="50" customWidth="1"/>
    <col min="15105" max="15105" width="20.25" style="50" customWidth="1"/>
    <col min="15106" max="15112" width="18.125" style="50" customWidth="1"/>
    <col min="15113" max="15113" width="9.375" style="50" customWidth="1"/>
    <col min="15114" max="15114" width="11.875" style="50" customWidth="1"/>
    <col min="15115" max="15358" width="7.875" style="50"/>
    <col min="15359" max="15359" width="8.5" style="50" customWidth="1"/>
    <col min="15360" max="15360" width="57.875" style="50" customWidth="1"/>
    <col min="15361" max="15361" width="20.25" style="50" customWidth="1"/>
    <col min="15362" max="15368" width="18.125" style="50" customWidth="1"/>
    <col min="15369" max="15369" width="9.375" style="50" customWidth="1"/>
    <col min="15370" max="15370" width="11.875" style="50" customWidth="1"/>
    <col min="15371" max="15614" width="7.875" style="50"/>
    <col min="15615" max="15615" width="8.5" style="50" customWidth="1"/>
    <col min="15616" max="15616" width="57.875" style="50" customWidth="1"/>
    <col min="15617" max="15617" width="20.25" style="50" customWidth="1"/>
    <col min="15618" max="15624" width="18.125" style="50" customWidth="1"/>
    <col min="15625" max="15625" width="9.375" style="50" customWidth="1"/>
    <col min="15626" max="15626" width="11.875" style="50" customWidth="1"/>
    <col min="15627" max="15870" width="7.875" style="50"/>
    <col min="15871" max="15871" width="8.5" style="50" customWidth="1"/>
    <col min="15872" max="15872" width="57.875" style="50" customWidth="1"/>
    <col min="15873" max="15873" width="20.25" style="50" customWidth="1"/>
    <col min="15874" max="15880" width="18.125" style="50" customWidth="1"/>
    <col min="15881" max="15881" width="9.375" style="50" customWidth="1"/>
    <col min="15882" max="15882" width="11.875" style="50" customWidth="1"/>
    <col min="15883" max="16126" width="7.875" style="50"/>
    <col min="16127" max="16127" width="8.5" style="50" customWidth="1"/>
    <col min="16128" max="16128" width="57.875" style="50" customWidth="1"/>
    <col min="16129" max="16129" width="20.25" style="50" customWidth="1"/>
    <col min="16130" max="16136" width="18.125" style="50" customWidth="1"/>
    <col min="16137" max="16137" width="9.375" style="50" customWidth="1"/>
    <col min="16138" max="16138" width="11.875" style="50" customWidth="1"/>
    <col min="16139" max="16384" width="7.875" style="50"/>
  </cols>
  <sheetData>
    <row r="1" spans="1:10" s="40" customFormat="1" ht="15" customHeight="1" x14ac:dyDescent="0.2">
      <c r="A1" s="333"/>
      <c r="B1" s="333"/>
      <c r="C1" s="333"/>
      <c r="D1" s="333"/>
      <c r="E1" s="333"/>
      <c r="F1" s="333"/>
      <c r="G1" s="333"/>
      <c r="H1" s="333"/>
      <c r="I1" s="333"/>
    </row>
    <row r="2" spans="1:10" s="40" customFormat="1" ht="15" customHeight="1" x14ac:dyDescent="0.2">
      <c r="A2" s="332" t="str">
        <f>INSTRUÇÕES!A2</f>
        <v>PROCURADORIA GERAL DA REPÚBLICA</v>
      </c>
      <c r="B2" s="332"/>
      <c r="C2" s="332"/>
      <c r="D2" s="332"/>
      <c r="E2" s="332"/>
      <c r="F2" s="332"/>
      <c r="G2" s="332"/>
      <c r="H2" s="332"/>
      <c r="I2" s="332"/>
    </row>
    <row r="3" spans="1:10" s="40" customFormat="1" ht="15" customHeight="1" x14ac:dyDescent="0.2">
      <c r="A3" s="332" t="str">
        <f>INSTRUÇÕES!A3</f>
        <v>SECRETARIA DE ENGENHARIA E ARQUITETURA</v>
      </c>
      <c r="B3" s="332"/>
      <c r="C3" s="332"/>
      <c r="D3" s="332"/>
      <c r="E3" s="332"/>
      <c r="F3" s="332"/>
      <c r="G3" s="332"/>
      <c r="H3" s="332"/>
      <c r="I3" s="332"/>
    </row>
    <row r="4" spans="1:10" s="40" customFormat="1" ht="15" customHeight="1" x14ac:dyDescent="0.2">
      <c r="A4" s="332"/>
      <c r="B4" s="332"/>
      <c r="C4" s="332"/>
      <c r="D4" s="332"/>
      <c r="E4" s="332"/>
      <c r="F4" s="332"/>
      <c r="G4" s="332"/>
      <c r="H4" s="332"/>
      <c r="I4" s="332"/>
    </row>
    <row r="5" spans="1:10" s="40" customFormat="1" ht="15" customHeight="1" x14ac:dyDescent="0.2">
      <c r="A5" s="332" t="str">
        <f>INSTRUÇÕES!A6</f>
        <v>OBRA: INSTALAÇÃO DE MICROGERAÇÃO DISTRIBUIDA NA PRM-SANTAREM / PA / MPF</v>
      </c>
      <c r="B5" s="332"/>
      <c r="C5" s="332"/>
      <c r="D5" s="332"/>
      <c r="E5" s="332"/>
      <c r="F5" s="332"/>
      <c r="G5" s="332"/>
      <c r="H5" s="332"/>
      <c r="I5" s="332"/>
    </row>
    <row r="6" spans="1:10" s="40" customFormat="1" ht="30" customHeight="1" x14ac:dyDescent="0.2">
      <c r="A6" s="333" t="s">
        <v>179</v>
      </c>
      <c r="B6" s="333"/>
      <c r="C6" s="333"/>
      <c r="D6" s="333"/>
      <c r="E6" s="333"/>
      <c r="F6" s="333"/>
      <c r="G6" s="333"/>
      <c r="H6" s="333"/>
      <c r="I6" s="333"/>
    </row>
    <row r="7" spans="1:10" s="40" customFormat="1" ht="18" customHeight="1" x14ac:dyDescent="0.2">
      <c r="A7" s="333"/>
      <c r="B7" s="333"/>
      <c r="C7" s="333"/>
      <c r="D7" s="333"/>
      <c r="E7" s="333"/>
      <c r="F7" s="333"/>
      <c r="G7" s="333"/>
      <c r="H7" s="333"/>
      <c r="I7" s="333"/>
    </row>
    <row r="8" spans="1:10" s="45" customFormat="1" ht="45" customHeight="1" x14ac:dyDescent="0.2">
      <c r="A8" s="41" t="s">
        <v>145</v>
      </c>
      <c r="B8" s="42" t="s">
        <v>146</v>
      </c>
      <c r="C8" s="43" t="s">
        <v>147</v>
      </c>
      <c r="D8" s="44" t="s">
        <v>148</v>
      </c>
      <c r="E8" s="44" t="s">
        <v>149</v>
      </c>
      <c r="F8" s="44" t="s">
        <v>150</v>
      </c>
      <c r="G8" s="44" t="s">
        <v>151</v>
      </c>
      <c r="H8" s="44" t="s">
        <v>152</v>
      </c>
      <c r="I8" s="44" t="s">
        <v>153</v>
      </c>
    </row>
    <row r="9" spans="1:10" s="45" customFormat="1" ht="30" customHeight="1" x14ac:dyDescent="0.2">
      <c r="A9" s="321" t="s">
        <v>563</v>
      </c>
      <c r="B9" s="322" t="str">
        <f>SINTÉTICA!D15</f>
        <v>SERVIÇOS PRELIMINARES</v>
      </c>
      <c r="C9" s="323">
        <f>SINTÉTICA!I15</f>
        <v>5050.8</v>
      </c>
      <c r="D9" s="46">
        <f t="shared" ref="D9:H9" si="0">$C9*D10</f>
        <v>959.65200000000004</v>
      </c>
      <c r="E9" s="46">
        <f t="shared" si="0"/>
        <v>1565.748</v>
      </c>
      <c r="F9" s="46">
        <f t="shared" si="0"/>
        <v>1262.7</v>
      </c>
      <c r="G9" s="46">
        <f t="shared" si="0"/>
        <v>1262.7</v>
      </c>
      <c r="H9" s="46">
        <f t="shared" si="0"/>
        <v>0</v>
      </c>
      <c r="I9" s="47">
        <f t="shared" ref="I9:I18" si="1">SUM(D9:H9)</f>
        <v>5050.8</v>
      </c>
      <c r="J9" s="48"/>
    </row>
    <row r="10" spans="1:10" s="45" customFormat="1" ht="30" customHeight="1" x14ac:dyDescent="0.2">
      <c r="A10" s="321"/>
      <c r="B10" s="322"/>
      <c r="C10" s="323"/>
      <c r="D10" s="182">
        <v>0.19</v>
      </c>
      <c r="E10" s="182">
        <v>0.31</v>
      </c>
      <c r="F10" s="182">
        <v>0.25</v>
      </c>
      <c r="G10" s="182">
        <v>0.25</v>
      </c>
      <c r="H10" s="182"/>
      <c r="I10" s="49">
        <f t="shared" si="1"/>
        <v>1</v>
      </c>
      <c r="J10" s="48"/>
    </row>
    <row r="11" spans="1:10" ht="30" customHeight="1" x14ac:dyDescent="0.2">
      <c r="A11" s="321" t="s">
        <v>564</v>
      </c>
      <c r="B11" s="322" t="str">
        <f>SINTÉTICA!D23</f>
        <v>ESTRUTURA DE FIXAÇÃO DOS MÓDULOS</v>
      </c>
      <c r="C11" s="323">
        <f>SINTÉTICA!I23</f>
        <v>29151.200000000001</v>
      </c>
      <c r="D11" s="46">
        <f t="shared" ref="D11:H11" si="2">$C11*D12</f>
        <v>0</v>
      </c>
      <c r="E11" s="46">
        <f t="shared" si="2"/>
        <v>0</v>
      </c>
      <c r="F11" s="46">
        <f t="shared" si="2"/>
        <v>22446.424000000003</v>
      </c>
      <c r="G11" s="46">
        <f t="shared" si="2"/>
        <v>6704.7760000000007</v>
      </c>
      <c r="H11" s="46">
        <f t="shared" si="2"/>
        <v>0</v>
      </c>
      <c r="I11" s="47">
        <f t="shared" si="1"/>
        <v>29151.200000000004</v>
      </c>
      <c r="J11" s="48"/>
    </row>
    <row r="12" spans="1:10" s="51" customFormat="1" ht="30" customHeight="1" x14ac:dyDescent="0.2">
      <c r="A12" s="321"/>
      <c r="B12" s="322"/>
      <c r="C12" s="323"/>
      <c r="D12" s="182"/>
      <c r="E12" s="182"/>
      <c r="F12" s="182">
        <v>0.77</v>
      </c>
      <c r="G12" s="182">
        <v>0.23</v>
      </c>
      <c r="H12" s="182"/>
      <c r="I12" s="49">
        <f t="shared" si="1"/>
        <v>1</v>
      </c>
      <c r="J12" s="48"/>
    </row>
    <row r="13" spans="1:10" ht="30" customHeight="1" x14ac:dyDescent="0.2">
      <c r="A13" s="321" t="s">
        <v>565</v>
      </c>
      <c r="B13" s="322" t="str">
        <f>SINTÉTICA!D25</f>
        <v>EQUIPAMENTOS</v>
      </c>
      <c r="C13" s="323">
        <f>SINTÉTICA!I25</f>
        <v>240995.71999999997</v>
      </c>
      <c r="D13" s="46">
        <f t="shared" ref="D13:H15" si="3">$C13*D14</f>
        <v>0</v>
      </c>
      <c r="E13" s="46">
        <f t="shared" si="3"/>
        <v>0</v>
      </c>
      <c r="F13" s="46">
        <f t="shared" si="3"/>
        <v>0</v>
      </c>
      <c r="G13" s="46">
        <f t="shared" si="3"/>
        <v>162672.111</v>
      </c>
      <c r="H13" s="46">
        <f t="shared" si="3"/>
        <v>78323.608999999997</v>
      </c>
      <c r="I13" s="47">
        <f t="shared" si="1"/>
        <v>240995.72</v>
      </c>
      <c r="J13" s="48"/>
    </row>
    <row r="14" spans="1:10" ht="30" customHeight="1" x14ac:dyDescent="0.2">
      <c r="A14" s="321"/>
      <c r="B14" s="322"/>
      <c r="C14" s="323"/>
      <c r="D14" s="182"/>
      <c r="E14" s="182"/>
      <c r="F14" s="182"/>
      <c r="G14" s="182">
        <v>0.67500000000000004</v>
      </c>
      <c r="H14" s="182">
        <v>0.32500000000000001</v>
      </c>
      <c r="I14" s="49">
        <f t="shared" si="1"/>
        <v>1</v>
      </c>
      <c r="J14" s="48"/>
    </row>
    <row r="15" spans="1:10" ht="30" customHeight="1" x14ac:dyDescent="0.2">
      <c r="A15" s="321" t="s">
        <v>566</v>
      </c>
      <c r="B15" s="322" t="str">
        <f>SINTÉTICA!D29</f>
        <v>INSTALAÇÕES ELÉTRICAS</v>
      </c>
      <c r="C15" s="323">
        <f>SINTÉTICA!I29</f>
        <v>41383.509999999995</v>
      </c>
      <c r="D15" s="46">
        <f t="shared" si="3"/>
        <v>0</v>
      </c>
      <c r="E15" s="46">
        <f t="shared" si="3"/>
        <v>0</v>
      </c>
      <c r="F15" s="46">
        <f t="shared" si="3"/>
        <v>18208.7444</v>
      </c>
      <c r="G15" s="46">
        <f t="shared" si="3"/>
        <v>10345.877499999999</v>
      </c>
      <c r="H15" s="46">
        <f t="shared" si="3"/>
        <v>12828.888099999998</v>
      </c>
      <c r="I15" s="47">
        <f t="shared" si="1"/>
        <v>41383.509999999995</v>
      </c>
      <c r="J15" s="48"/>
    </row>
    <row r="16" spans="1:10" ht="30" customHeight="1" x14ac:dyDescent="0.2">
      <c r="A16" s="321"/>
      <c r="B16" s="322"/>
      <c r="C16" s="323"/>
      <c r="D16" s="182"/>
      <c r="E16" s="182"/>
      <c r="F16" s="182">
        <v>0.44</v>
      </c>
      <c r="G16" s="182">
        <v>0.25</v>
      </c>
      <c r="H16" s="182">
        <v>0.31</v>
      </c>
      <c r="I16" s="49">
        <f t="shared" si="1"/>
        <v>1</v>
      </c>
      <c r="J16" s="48"/>
    </row>
    <row r="17" spans="1:10" s="51" customFormat="1" ht="30" customHeight="1" x14ac:dyDescent="0.2">
      <c r="A17" s="321" t="s">
        <v>567</v>
      </c>
      <c r="B17" s="322" t="str">
        <f>SINTÉTICA!D52</f>
        <v>ADMINISTRAÇÃO DA OBRA</v>
      </c>
      <c r="C17" s="323">
        <f>SINTÉTICA!I52</f>
        <v>14098.56</v>
      </c>
      <c r="D17" s="46">
        <f t="shared" ref="D17:H17" si="4">$C17*D18</f>
        <v>42.736934533737205</v>
      </c>
      <c r="E17" s="46">
        <f t="shared" si="4"/>
        <v>69.728682660308067</v>
      </c>
      <c r="F17" s="46">
        <f t="shared" si="4"/>
        <v>1866.7612818027906</v>
      </c>
      <c r="G17" s="46">
        <f t="shared" si="4"/>
        <v>8059.9675172818042</v>
      </c>
      <c r="H17" s="46">
        <f t="shared" si="4"/>
        <v>4059.3655837213596</v>
      </c>
      <c r="I17" s="47">
        <f t="shared" si="1"/>
        <v>14098.56</v>
      </c>
      <c r="J17" s="48"/>
    </row>
    <row r="18" spans="1:10" s="51" customFormat="1" ht="30" customHeight="1" x14ac:dyDescent="0.2">
      <c r="A18" s="321"/>
      <c r="B18" s="322"/>
      <c r="C18" s="323"/>
      <c r="D18" s="52">
        <f>SUM(D9,D11,D13,D15)/($C$22-$C$17)</f>
        <v>3.0312978441583544E-3</v>
      </c>
      <c r="E18" s="52">
        <f t="shared" ref="E18:H18" si="5">SUM(E9,E11,E13,E15)/($C$22-$C$17)</f>
        <v>4.9458017457320513E-3</v>
      </c>
      <c r="F18" s="52">
        <f t="shared" si="5"/>
        <v>0.13240793966212086</v>
      </c>
      <c r="G18" s="52">
        <f t="shared" si="5"/>
        <v>0.57168728701951155</v>
      </c>
      <c r="H18" s="52">
        <f t="shared" si="5"/>
        <v>0.28792767372847722</v>
      </c>
      <c r="I18" s="49">
        <f t="shared" si="1"/>
        <v>1</v>
      </c>
      <c r="J18" s="48"/>
    </row>
    <row r="19" spans="1:10" s="51" customFormat="1" ht="30" customHeight="1" x14ac:dyDescent="0.2">
      <c r="A19" s="330"/>
      <c r="B19" s="330"/>
      <c r="C19" s="330"/>
      <c r="D19" s="330"/>
      <c r="E19" s="330"/>
      <c r="F19" s="330"/>
      <c r="G19" s="330"/>
      <c r="H19" s="330"/>
      <c r="I19" s="330"/>
      <c r="J19" s="48"/>
    </row>
    <row r="20" spans="1:10" ht="30" customHeight="1" x14ac:dyDescent="0.2">
      <c r="A20" s="325"/>
      <c r="B20" s="327" t="s">
        <v>154</v>
      </c>
      <c r="C20" s="331"/>
      <c r="D20" s="53">
        <f>D9+D11+D13+D15+D17</f>
        <v>1002.3889345337373</v>
      </c>
      <c r="E20" s="53">
        <f t="shared" ref="E20:H20" si="6">E9+E11+E13+E15+E17</f>
        <v>1635.4766826603081</v>
      </c>
      <c r="F20" s="53">
        <f t="shared" si="6"/>
        <v>43784.629681802799</v>
      </c>
      <c r="G20" s="53">
        <f t="shared" si="6"/>
        <v>189045.4320172818</v>
      </c>
      <c r="H20" s="53">
        <f t="shared" si="6"/>
        <v>95211.862683721352</v>
      </c>
      <c r="I20" s="53">
        <f>SUM(D20:H20)</f>
        <v>330679.78999999998</v>
      </c>
      <c r="J20" s="54"/>
    </row>
    <row r="21" spans="1:10" ht="30" customHeight="1" x14ac:dyDescent="0.2">
      <c r="A21" s="325"/>
      <c r="B21" s="327"/>
      <c r="C21" s="331"/>
      <c r="D21" s="55">
        <f>D20/$C22</f>
        <v>3.0312978441583544E-3</v>
      </c>
      <c r="E21" s="55">
        <f t="shared" ref="E21:H21" si="7">E20/$C22</f>
        <v>4.9458017457320513E-3</v>
      </c>
      <c r="F21" s="55">
        <f t="shared" si="7"/>
        <v>0.13240793966212086</v>
      </c>
      <c r="G21" s="55">
        <f t="shared" si="7"/>
        <v>0.57168728701951155</v>
      </c>
      <c r="H21" s="55">
        <f t="shared" si="7"/>
        <v>0.28792767372847722</v>
      </c>
      <c r="I21" s="56">
        <f>I20/C22</f>
        <v>1</v>
      </c>
    </row>
    <row r="22" spans="1:10" s="58" customFormat="1" ht="30" customHeight="1" x14ac:dyDescent="0.2">
      <c r="A22" s="324"/>
      <c r="B22" s="326" t="s">
        <v>155</v>
      </c>
      <c r="C22" s="328">
        <f>SUM(C9:C18)</f>
        <v>330679.78999999998</v>
      </c>
      <c r="D22" s="57">
        <f>D20</f>
        <v>1002.3889345337373</v>
      </c>
      <c r="E22" s="57">
        <f>D22+E20</f>
        <v>2637.8656171940456</v>
      </c>
      <c r="F22" s="57">
        <f>E22+F20</f>
        <v>46422.495298996844</v>
      </c>
      <c r="G22" s="57">
        <f>F22+G20</f>
        <v>235467.92731627863</v>
      </c>
      <c r="H22" s="57">
        <f t="shared" ref="H22" si="8">G22+H20</f>
        <v>330679.78999999998</v>
      </c>
      <c r="I22" s="57">
        <f>H22</f>
        <v>330679.78999999998</v>
      </c>
    </row>
    <row r="23" spans="1:10" ht="30" customHeight="1" x14ac:dyDescent="0.2">
      <c r="A23" s="325"/>
      <c r="B23" s="327"/>
      <c r="C23" s="329"/>
      <c r="D23" s="55">
        <f>(D22/$C$22)</f>
        <v>3.0312978441583544E-3</v>
      </c>
      <c r="E23" s="55">
        <f>(E22)/$C22</f>
        <v>7.977099589890407E-3</v>
      </c>
      <c r="F23" s="55">
        <f t="shared" ref="F23:H23" si="9">(F22)/$C22</f>
        <v>0.14038503925201129</v>
      </c>
      <c r="G23" s="55">
        <f t="shared" si="9"/>
        <v>0.71207232627152284</v>
      </c>
      <c r="H23" s="55">
        <f t="shared" si="9"/>
        <v>1</v>
      </c>
      <c r="I23" s="56">
        <f>H23</f>
        <v>1</v>
      </c>
    </row>
    <row r="24" spans="1:10" x14ac:dyDescent="0.2">
      <c r="B24" s="60"/>
      <c r="C24" s="61"/>
      <c r="D24" s="62"/>
      <c r="E24" s="62"/>
      <c r="F24" s="62"/>
      <c r="G24" s="62"/>
      <c r="H24" s="62"/>
      <c r="I24" s="62"/>
    </row>
    <row r="25" spans="1:10" x14ac:dyDescent="0.2">
      <c r="B25" s="60"/>
      <c r="C25" s="60"/>
      <c r="D25" s="60"/>
    </row>
    <row r="27" spans="1:10" x14ac:dyDescent="0.2">
      <c r="I27" s="65"/>
    </row>
    <row r="28" spans="1:10" s="68" customFormat="1" x14ac:dyDescent="0.2">
      <c r="A28" s="59"/>
      <c r="B28" s="66"/>
      <c r="C28" s="67"/>
      <c r="D28" s="67"/>
      <c r="E28" s="67"/>
      <c r="F28" s="67"/>
      <c r="G28" s="67"/>
      <c r="H28" s="67"/>
      <c r="I28" s="65"/>
    </row>
    <row r="29" spans="1:10" x14ac:dyDescent="0.2">
      <c r="I29" s="65"/>
    </row>
  </sheetData>
  <sheetProtection algorithmName="SHA-512" hashValue="zHsgJzxdjpc40PZOUvrpbnr4OV5T6QhTQ1TISKt/kqACR7Ipe8ADxJxMlnMZSmkMtfYEIC7QS77481bUrftyLQ==" saltValue="RjtF/dExbhi7Z9hjFA8Diw==" spinCount="100000" sheet="1" objects="1" scenarios="1"/>
  <mergeCells count="29">
    <mergeCell ref="C11:C12"/>
    <mergeCell ref="A2:I2"/>
    <mergeCell ref="A1:I1"/>
    <mergeCell ref="A3:I3"/>
    <mergeCell ref="A6:I6"/>
    <mergeCell ref="A7:I7"/>
    <mergeCell ref="A5:I5"/>
    <mergeCell ref="A4:I4"/>
    <mergeCell ref="A9:A10"/>
    <mergeCell ref="B9:B10"/>
    <mergeCell ref="C9:C10"/>
    <mergeCell ref="A11:A12"/>
    <mergeCell ref="B11:B12"/>
    <mergeCell ref="A13:A14"/>
    <mergeCell ref="B13:B14"/>
    <mergeCell ref="C13:C14"/>
    <mergeCell ref="A22:A23"/>
    <mergeCell ref="B22:B23"/>
    <mergeCell ref="C22:C23"/>
    <mergeCell ref="A19:I19"/>
    <mergeCell ref="A20:A21"/>
    <mergeCell ref="B20:B21"/>
    <mergeCell ref="C20:C21"/>
    <mergeCell ref="A17:A18"/>
    <mergeCell ref="B17:B18"/>
    <mergeCell ref="C17:C18"/>
    <mergeCell ref="A15:A16"/>
    <mergeCell ref="B15:B16"/>
    <mergeCell ref="C15:C16"/>
  </mergeCells>
  <conditionalFormatting sqref="D9:H9 D11:H11 D13:H13 D17:H17">
    <cfRule type="cellIs" dxfId="1" priority="7" operator="notEqual">
      <formula>0</formula>
    </cfRule>
  </conditionalFormatting>
  <conditionalFormatting sqref="D15:H15">
    <cfRule type="cellIs" dxfId="0" priority="4" operator="notEqual">
      <formula>0</formula>
    </cfRule>
  </conditionalFormatting>
  <pageMargins left="0.78740157480314965" right="0.78740157480314965" top="0.78740157480314965" bottom="0.78740157480314965" header="0.31496062992125984" footer="0.51181102362204722"/>
  <pageSetup paperSize="9" scale="44" fitToWidth="0" fitToHeight="2" orientation="landscape" r:id="rId1"/>
  <headerFooter>
    <oddFooter>&amp;R&amp;P de &amp;N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7</vt:i4>
      </vt:variant>
      <vt:variant>
        <vt:lpstr>Intervalos nomeados</vt:lpstr>
      </vt:variant>
      <vt:variant>
        <vt:i4>11</vt:i4>
      </vt:variant>
    </vt:vector>
  </HeadingPairs>
  <TitlesOfParts>
    <vt:vector size="18" baseType="lpstr">
      <vt:lpstr>INSTRUÇÕES</vt:lpstr>
      <vt:lpstr>SINTÉTICA</vt:lpstr>
      <vt:lpstr>ANALÍTICA</vt:lpstr>
      <vt:lpstr>ANALÍTICA AUXILIARES</vt:lpstr>
      <vt:lpstr>INSUMOS</vt:lpstr>
      <vt:lpstr>BDI</vt:lpstr>
      <vt:lpstr>CRONOGRAMA</vt:lpstr>
      <vt:lpstr>ANALÍTICA!Area_de_impressao</vt:lpstr>
      <vt:lpstr>'ANALÍTICA AUXILIARES'!Area_de_impressao</vt:lpstr>
      <vt:lpstr>BDI!Area_de_impressao</vt:lpstr>
      <vt:lpstr>CRONOGRAMA!Area_de_impressao</vt:lpstr>
      <vt:lpstr>INSTRUÇÕES!Area_de_impressao</vt:lpstr>
      <vt:lpstr>INSUMOS!Area_de_impressao</vt:lpstr>
      <vt:lpstr>SINTÉTICA!Area_de_impressao</vt:lpstr>
      <vt:lpstr>ANALÍTICA!Titulos_de_impressao</vt:lpstr>
      <vt:lpstr>'ANALÍTICA AUXILIARES'!Titulos_de_impressao</vt:lpstr>
      <vt:lpstr>INSUMOS!Titulos_de_impressao</vt:lpstr>
      <vt:lpstr>SINTÉTICA!Titulos_de_impressao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axlsx</dc:creator>
  <cp:lastModifiedBy>Gabriel Augusto Buss</cp:lastModifiedBy>
  <cp:revision>0</cp:revision>
  <cp:lastPrinted>2019-11-11T21:36:06Z</cp:lastPrinted>
  <dcterms:created xsi:type="dcterms:W3CDTF">2019-09-02T19:42:34Z</dcterms:created>
  <dcterms:modified xsi:type="dcterms:W3CDTF">2019-12-11T19:09:59Z</dcterms:modified>
</cp:coreProperties>
</file>