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lainevaz\Desktop\"/>
    </mc:Choice>
  </mc:AlternateContent>
  <bookViews>
    <workbookView xWindow="0" yWindow="0" windowWidth="16380" windowHeight="8190" tabRatio="500" firstSheet="5" activeTab="9"/>
  </bookViews>
  <sheets>
    <sheet name="INSERÇÃO-DE-DADOS" sheetId="1" r:id="rId1"/>
    <sheet name="DADOS-ESTATISTICOS" sheetId="2" state="hidden" r:id="rId2"/>
    <sheet name="ENCARGOS-SOCIAIS-E-TRABALHISTAS" sheetId="3" state="hidden" r:id="rId3"/>
    <sheet name="POSTO 12x36 HORAS" sheetId="4" state="hidden" r:id="rId4"/>
    <sheet name="UNIFORMES_TODOS OS POSTOS" sheetId="5" r:id="rId5"/>
    <sheet name="Equipamento e EPI - Carregador" sheetId="9" r:id="rId6"/>
    <sheet name="PR-GO" sheetId="6" r:id="rId7"/>
    <sheet name="PRM-ANS" sheetId="7" r:id="rId8"/>
    <sheet name="PRM-LUZ" sheetId="8" r:id="rId9"/>
    <sheet name="TOTAL GERAL" sheetId="10" r:id="rId10"/>
  </sheets>
  <externalReferences>
    <externalReference r:id="rId11"/>
  </externalReferences>
  <definedNames>
    <definedName name="ACORDO_COLETIVO">'INSERÇÃO-DE-DADOS'!$F$14</definedName>
    <definedName name="ADESAO_AO_PAT" localSheetId="1">'INSERÇÃO-DE-DADOS'!$E$55</definedName>
    <definedName name="ADESAO_AO_PAT">'[1]INSERÇÃO-DE-DADOS'!$E$49</definedName>
    <definedName name="AL_1_A_SAL_BASE_12x36" localSheetId="3">'POSTO 12x36 HORAS'!$F$22</definedName>
    <definedName name="AL_1_A_SAL_BASE_44H" localSheetId="6">'PR-GO'!$F$9</definedName>
    <definedName name="AL_1_A_SAL_BASE_44H" localSheetId="7">'PRM-ANS'!$F$7</definedName>
    <definedName name="AL_1_A_SAL_BASE_44H" localSheetId="8">#REF!</definedName>
    <definedName name="AL_1_A_SAL_BASE_44H2" localSheetId="7">#REF!</definedName>
    <definedName name="AL_1_A_SAL_BASE_44H2" localSheetId="8">#REF!</definedName>
    <definedName name="AL_1_A_SAL_BASE_44H2">'PR-GO'!$G$9</definedName>
    <definedName name="AL_1_A_SAL_BASE_44H3" localSheetId="7">'PRM-ANS'!$G$7</definedName>
    <definedName name="AL_1_A_SAL_BASE_44H3" localSheetId="8">'PRM-LUZ'!$F$7</definedName>
    <definedName name="AL_1_A_SAL_BASE_44H3">'PR-GO'!$H$9</definedName>
    <definedName name="AL_1_B_ADIC_PERIC_12x36" localSheetId="3">'POSTO 12x36 HORAS'!$F$23</definedName>
    <definedName name="AL_1_B_ADIC_PERIC_44H" localSheetId="6">'PR-GO'!$F$10</definedName>
    <definedName name="AL_1_B_ADIC_PERIC_44H" localSheetId="7">'PRM-ANS'!$F$8</definedName>
    <definedName name="AL_1_B_ADIC_PERIC_44H" localSheetId="8">#REF!</definedName>
    <definedName name="AL_1_C_ADIC_NOT_12x36" localSheetId="3">'POSTO 12x36 HORAS'!$F$24</definedName>
    <definedName name="AL_1_D_ADIC_NOT_RED_12x36" localSheetId="3">'POSTO 12x36 HORAS'!$F$25</definedName>
    <definedName name="AL_2_1_A_DEC_TERC_12x36" localSheetId="3">'POSTO 12x36 HORAS'!$F$34</definedName>
    <definedName name="AL_2_1_A_DEC_TERC_44H" localSheetId="6">'PR-GO'!$F$19</definedName>
    <definedName name="AL_2_1_A_DEC_TERC_44H" localSheetId="7">'PRM-ANS'!$F$17</definedName>
    <definedName name="AL_2_1_A_DEC_TERC_44H" localSheetId="8">#REF!</definedName>
    <definedName name="AL_2_1_B_ADIC_FERIAS_12x36" localSheetId="3">'POSTO 12x36 HORAS'!$F$35</definedName>
    <definedName name="AL_2_1_B_ADIC_FERIAS_44H" localSheetId="6">'PR-GO'!$F$20</definedName>
    <definedName name="AL_2_1_B_ADIC_FERIAS_44H" localSheetId="7">'PRM-ANS'!$F$18</definedName>
    <definedName name="AL_2_1_B_ADIC_FERIAS_44H" localSheetId="8">#REF!</definedName>
    <definedName name="AL_2_2_FGTS_12x36" localSheetId="3">'POSTO 12x36 HORAS'!$F$46</definedName>
    <definedName name="AL_2_2_FGTS_44H" localSheetId="6">'PR-GO'!$F$31</definedName>
    <definedName name="AL_2_2_FGTS_44H" localSheetId="7">'PRM-ANS'!$F$29</definedName>
    <definedName name="AL_2_2_FGTS_44H" localSheetId="8">#REF!</definedName>
    <definedName name="AL_2_3_A_TRANSP_12x36" localSheetId="3">'POSTO 12x36 HORAS'!$F$50</definedName>
    <definedName name="AL_2_3_A_TRANSP_44H" localSheetId="6">'PR-GO'!$F$35</definedName>
    <definedName name="AL_2_3_A_TRANSP_44H" localSheetId="7">'PRM-ANS'!$F$33</definedName>
    <definedName name="AL_2_3_A_TRANSP_44H" localSheetId="8">#REF!</definedName>
    <definedName name="AL_2_3_B_AUX_ALIMENT_12x36" localSheetId="3">'POSTO 12x36 HORAS'!$F$51</definedName>
    <definedName name="AL_2_3_B_AUX_ALIMENT_44H" localSheetId="6">'PR-GO'!$F$36</definedName>
    <definedName name="AL_2_3_B_AUX_ALIMENT_44H" localSheetId="7">'PRM-ANS'!$F$34</definedName>
    <definedName name="AL_2_3_B_AUX_ALIMENT_44H" localSheetId="8">#REF!</definedName>
    <definedName name="AL_2_3_C_OUTROS_BENEF_12x36" localSheetId="3">'POSTO 12x36 HORAS'!$F$52</definedName>
    <definedName name="AL_2_3_C_OUTROS_BENEF_44H" localSheetId="6">'PR-GO'!$F$37</definedName>
    <definedName name="AL_2_3_C_OUTROS_BENEF_44H" localSheetId="7">'PRM-ANS'!$F$35</definedName>
    <definedName name="AL_2_3_C_OUTROS_BENEF_44H" localSheetId="8">#REF!</definedName>
    <definedName name="AL_2_A_ATE_2_G_GPS_12x36" localSheetId="3">'POSTO 12x36 HORAS'!$F$39:$F$45</definedName>
    <definedName name="AL_2_A_ATE_2_G_GPS_44H" localSheetId="6">'PR-GO'!$F$24:$F$30</definedName>
    <definedName name="AL_2_A_ATE_2_G_GPS_44H" localSheetId="7">'PRM-ANS'!$F$22:$F$28</definedName>
    <definedName name="AL_2_A_ATE_2_G_GPS_44H" localSheetId="8">#REF!</definedName>
    <definedName name="AL_6_A_CUSTOS_INDIRETOS_12x36" localSheetId="3">'POSTO 12x36 HORAS'!$F$95</definedName>
    <definedName name="AL_6_A_CUSTOS_INDIRETOS_44H" localSheetId="6">'PR-GO'!$F$72</definedName>
    <definedName name="AL_6_A_CUSTOS_INDIRETOS_44H" localSheetId="7">'PRM-ANS'!$F$70</definedName>
    <definedName name="AL_6_A_CUSTOS_INDIRETOS_44H" localSheetId="8">#REF!</definedName>
    <definedName name="AL_6_A_CUSTOS_INDIRETOS_44H2" localSheetId="7">#REF!</definedName>
    <definedName name="AL_6_A_CUSTOS_INDIRETOS_44H2" localSheetId="8">#REF!</definedName>
    <definedName name="AL_6_A_CUSTOS_INDIRETOS_44H2">'PR-GO'!$G$72</definedName>
    <definedName name="AL_6_A_CUSTOS_INDIRETOS_44H3" localSheetId="7">'PRM-ANS'!$G$70</definedName>
    <definedName name="AL_6_A_CUSTOS_INDIRETOS_44H3" localSheetId="8">'PRM-LUZ'!$F$70</definedName>
    <definedName name="AL_6_A_CUSTOS_INDIRETOS_44H3">'PR-GO'!$H$72</definedName>
    <definedName name="AL_6_B_LUCRO_12x36" localSheetId="3">'POSTO 12x36 HORAS'!$F$96</definedName>
    <definedName name="AL_6_B_LUCRO_44H" localSheetId="6">'PR-GO'!$F$73</definedName>
    <definedName name="AL_6_B_LUCRO_44H" localSheetId="7">'PRM-ANS'!$F$71</definedName>
    <definedName name="AL_6_B_LUCRO_44H" localSheetId="8">#REF!</definedName>
    <definedName name="AL_6_B_LUCRO_44H2" localSheetId="7">#REF!</definedName>
    <definedName name="AL_6_B_LUCRO_44H2" localSheetId="8">#REF!</definedName>
    <definedName name="AL_6_B_LUCRO_44H2">'PR-GO'!$G$73</definedName>
    <definedName name="AL_6_B_LUCRO_44H3" localSheetId="7">'PRM-ANS'!$G$71</definedName>
    <definedName name="AL_6_B_LUCRO_44H3" localSheetId="8">'PRM-LUZ'!$F$71</definedName>
    <definedName name="AL_6_B_LUCRO_44H3">'PR-GO'!$H$73</definedName>
    <definedName name="AL_6_C_1_PIS_12x36" localSheetId="3">'POSTO 12x36 HORAS'!$F$98</definedName>
    <definedName name="AL_6_C_1_PIS_44H" localSheetId="6">'PR-GO'!$F$75</definedName>
    <definedName name="AL_6_C_1_PIS_44H" localSheetId="7">'PRM-ANS'!$F$73</definedName>
    <definedName name="AL_6_C_1_PIS_44H" localSheetId="8">#REF!</definedName>
    <definedName name="AL_6_C_2_COFINS_12x36" localSheetId="3">'POSTO 12x36 HORAS'!$F$99</definedName>
    <definedName name="AL_6_C_2_COFINS_44H" localSheetId="6">'PR-GO'!$F$76</definedName>
    <definedName name="AL_6_C_2_COFINS_44H" localSheetId="7">'PRM-ANS'!$F$74</definedName>
    <definedName name="AL_6_C_2_COFINS_44H" localSheetId="8">#REF!</definedName>
    <definedName name="AL_6_C_3_ISS_12x36" localSheetId="3">'POSTO 12x36 HORAS'!$F$100</definedName>
    <definedName name="AL_6_C_3_ISS_44H" localSheetId="6">'PR-GO'!$F$77</definedName>
    <definedName name="AL_6_C_3_ISS_44H" localSheetId="7">'PRM-ANS'!$F$75</definedName>
    <definedName name="AL_6_C_3_ISS_44H" localSheetId="8">#REF!</definedName>
    <definedName name="AL_6_C_TRIBUTOS_12x36" localSheetId="3">'POSTO 12x36 HORAS'!$F$97</definedName>
    <definedName name="AL_6_C_TRIBUTOS_44H" localSheetId="6">'PR-GO'!$F$74</definedName>
    <definedName name="AL_6_C_TRIBUTOS_44H" localSheetId="7">'PRM-ANS'!$F$72</definedName>
    <definedName name="AL_6_C_TRIBUTOS_44H" localSheetId="8">#REF!</definedName>
    <definedName name="AL_6_C_TRIBUTOS_44H2" localSheetId="7">#REF!</definedName>
    <definedName name="AL_6_C_TRIBUTOS_44H2" localSheetId="8">#REF!</definedName>
    <definedName name="AL_6_C_TRIBUTOS_44H2">'PR-GO'!$G$74</definedName>
    <definedName name="AL_6_C_TRIBUTOS_44H3" localSheetId="7">'PRM-ANS'!$G$72</definedName>
    <definedName name="AL_6_C_TRIBUTOS_44H3" localSheetId="8">'PRM-LUZ'!$F$72</definedName>
    <definedName name="AL_6_C_TRIBUTOS_44H3">'PR-GO'!$H$74</definedName>
    <definedName name="ALIMENTACAO_POR_DIA">'INSERÇÃO-DE-DADOS'!$F$54</definedName>
    <definedName name="ALIMENTACAO_POR_DIA2">'INSERÇÃO-DE-DADOS'!$G$54</definedName>
    <definedName name="ALIMENTACAO_POR_DIA3">'INSERÇÃO-DE-DADOS'!$H$54</definedName>
    <definedName name="BC_ADIC_INSALUB">'INSERÇÃO-DE-DADOS'!$F$24</definedName>
    <definedName name="CATEGORIA_PROFISSIONAL">'INSERÇÃO-DE-DADOS'!$D$28</definedName>
    <definedName name="CBO">'INSERÇÃO-DE-DADOS'!$D$27</definedName>
    <definedName name="DATA_APRESENTACAO_PROPOSTA">'INSERÇÃO-DE-DADOS'!$F$11</definedName>
    <definedName name="DATA_BASE_CATEGORIA">'INSERÇÃO-DE-DADOS'!$F$29</definedName>
    <definedName name="DATA_DO_ORCAMENTO_ESTIMATIVO">'INSERÇÃO-DE-DADOS'!$H$2</definedName>
    <definedName name="DATA_LICITACAO">'INSERÇÃO-DE-DADOS'!$D$8</definedName>
    <definedName name="DIAS_AUSENCIAS_LEGAIS">'DADOS-ESTATISTICOS'!$F$29</definedName>
    <definedName name="DIAS_LICENCA_MATERNIDADE">'DADOS-ESTATISTICOS'!$F$35</definedName>
    <definedName name="DIAS_LICENCA_PATERNIDADE">'DADOS-ESTATISTICOS'!$F$30</definedName>
    <definedName name="DIAS_NA_SEMANA">'DADOS-ESTATISTICOS'!$F$5</definedName>
    <definedName name="DIAS_NO_ANO">'DADOS-ESTATISTICOS'!$F$6</definedName>
    <definedName name="DIAS_NO_MES">'DADOS-ESTATISTICOS'!$F$24</definedName>
    <definedName name="DIAS_PAGOS_EMPRESA_ACID_TRAB">'DADOS-ESTATISTICOS'!$F$34</definedName>
    <definedName name="DIAS_TRABALHADOS_NO_MES_12X36">'DADOS-ESTATISTICOS'!$F$15</definedName>
    <definedName name="DIAS_UTEIS_TRABALHADOS_NO_MES_44HORAS">'DADOS-ESTATISTICOS'!$F$16</definedName>
    <definedName name="DIVISOR_DE_HORAS">'DADOS-ESTATISTICOS'!$F$4</definedName>
    <definedName name="EMPREG_POR_POSTO">'INSERÇÃO-DE-DADOS'!$F$19</definedName>
    <definedName name="EMPREG_POR_POSTO2">'INSERÇÃO-DE-DADOS'!$G$19</definedName>
    <definedName name="EMPREG_POR_POSTO3">'INSERÇÃO-DE-DADOS'!$H$19</definedName>
    <definedName name="EQUIPAMENTOS">'INSERÇÃO-DE-DADOS'!$F$78</definedName>
    <definedName name="EQUIPAMENTOS2">'INSERÇÃO-DE-DADOS'!$G$78</definedName>
    <definedName name="EQUIPAMENTOS3">'INSERÇÃO-DE-DADOS'!$H$78</definedName>
    <definedName name="FAP">'INSERÇÃO-DE-DADOS'!$F$47</definedName>
    <definedName name="HORA_NORMAL">'DADOS-ESTATISTICOS'!$F$9</definedName>
    <definedName name="HORA_NOTURNA">'DADOS-ESTATISTICOS'!$F$10</definedName>
    <definedName name="HORARIO_LICITACAO">'INSERÇÃO-DE-DADOS'!$F$8</definedName>
    <definedName name="INCID_FGTS_SOBRE_API">'ENCARGOS-SOCIAIS-E-TRABALHISTAS'!$E$21</definedName>
    <definedName name="INCID_SUBMOD_2_2_APT">'ENCARGOS-SOCIAIS-E-TRABALHISTAS'!$E$24</definedName>
    <definedName name="LOCAL_DE_EXECUCAO">'INSERÇÃO-DE-DADOS'!$D$12</definedName>
    <definedName name="MATERIAIS">'INSERÇÃO-DE-DADOS'!$F$77</definedName>
    <definedName name="MATERIAIS2">'INSERÇÃO-DE-DADOS'!$G$77</definedName>
    <definedName name="MATERIAIS3">'INSERÇÃO-DE-DADOS'!$H$77</definedName>
    <definedName name="MEDIA_ANUAL_DIAS_TRABALHO_MES">'DADOS-ESTATISTICOS'!$F$7</definedName>
    <definedName name="MESES_NO_ANO">'DADOS-ESTATISTICOS'!$F$8</definedName>
    <definedName name="MOD_1_REMUNERACAO_12X36">'POSTO 12x36 HORAS'!$F$30</definedName>
    <definedName name="MOD_1_REMUNERACAO_44H" localSheetId="6">'PR-GO'!$F$15</definedName>
    <definedName name="MOD_1_REMUNERACAO_44H" localSheetId="7">'PRM-ANS'!$F$13</definedName>
    <definedName name="MOD_1_REMUNERACAO_44H" localSheetId="8">#REF!</definedName>
    <definedName name="MOD_1_REMUNERACAO_44H2" localSheetId="7">#REF!</definedName>
    <definedName name="MOD_1_REMUNERACAO_44H2" localSheetId="8">#REF!</definedName>
    <definedName name="MOD_1_REMUNERACAO_44H2">'PR-GO'!$G$15</definedName>
    <definedName name="MOD_1_REMUNERACAO_44H3" localSheetId="7">'PRM-ANS'!$G$13</definedName>
    <definedName name="MOD_1_REMUNERACAO_44H3" localSheetId="8">'PRM-LUZ'!$F$13</definedName>
    <definedName name="MOD_1_REMUNERACAO_44H3">'PR-GO'!$H$15</definedName>
    <definedName name="MOD_2_ENCARGOS_BENEFICIOS_12x36" localSheetId="3">'POSTO 12x36 HORAS'!$F$36+'POSTO 12x36 HORAS'!$F$47+'POSTO 12x36 HORAS'!$F$55</definedName>
    <definedName name="MOD_2_ENCARGOS_BENEFICIOS_44H" localSheetId="6">'PR-GO'!$F$21+'PR-GO'!$F$32+'PR-GO'!$F$40</definedName>
    <definedName name="MOD_2_ENCARGOS_BENEFICIOS_44H" localSheetId="7">'PRM-ANS'!$F$19+'PRM-ANS'!$F$30+'PRM-ANS'!$F$38</definedName>
    <definedName name="MOD_2_ENCARGOS_BENEFICIOS_44H" localSheetId="8">#REF!+#REF!+#REF!</definedName>
    <definedName name="MOD_2_ENCARGOS_BENEFICIOS_44H2" localSheetId="7">#REF!+#REF!+#REF!</definedName>
    <definedName name="MOD_2_ENCARGOS_BENEFICIOS_44H2" localSheetId="8">#REF!+#REF!+#REF!</definedName>
    <definedName name="MOD_2_ENCARGOS_BENEFICIOS_44H2">'PR-GO'!$G$21+'PR-GO'!$G$32+'PR-GO'!$G$40</definedName>
    <definedName name="MOD_2_ENCARGOS_BENEFICIOS_44H3" localSheetId="7">'PRM-ANS'!$G$19+'PRM-ANS'!$G$30+'PRM-ANS'!$G$38</definedName>
    <definedName name="MOD_2_ENCARGOS_BENEFICIOS_44H3" localSheetId="8">'PRM-LUZ'!$F$19+'PRM-LUZ'!$F$30+'PRM-LUZ'!$F$38</definedName>
    <definedName name="MOD_2_ENCARGOS_BENEFICIOS_44H3">'PR-GO'!$H$21+'PR-GO'!$H$32+'PR-GO'!$H$40</definedName>
    <definedName name="MOD_3_PROVISAO_RESCISAO_12x36" localSheetId="3">'POSTO 12x36 HORAS'!$F$68</definedName>
    <definedName name="MOD_3_PROVISAO_RESCISAO_44H" localSheetId="6">'PR-GO'!$F$49</definedName>
    <definedName name="MOD_3_PROVISAO_RESCISAO_44H" localSheetId="7">'PRM-ANS'!$F$47</definedName>
    <definedName name="MOD_3_PROVISAO_RESCISAO_44H" localSheetId="8">#REF!</definedName>
    <definedName name="MOD_3_PROVISAO_RESCISAO_44H2" localSheetId="7">#REF!</definedName>
    <definedName name="MOD_3_PROVISAO_RESCISAO_44H2" localSheetId="8">#REF!</definedName>
    <definedName name="MOD_3_PROVISAO_RESCISAO_44H2">'PR-GO'!$G$49</definedName>
    <definedName name="MOD_3_PROVISAO_RESCISAO_44H3" localSheetId="7">'PRM-ANS'!$G$47</definedName>
    <definedName name="MOD_3_PROVISAO_RESCISAO_44H3" localSheetId="8">'PRM-LUZ'!$F$47</definedName>
    <definedName name="MOD_3_PROVISAO_RESCISAO_44H3">'PR-GO'!$H$49</definedName>
    <definedName name="MOD_4_CUSTO_REPOSICAO_12x36" localSheetId="3">'POSTO 12x36 HORAS'!$F$79+'POSTO 12x36 HORAS'!$F$83</definedName>
    <definedName name="MOD_4_CUSTO_REPOSICAO_44H" localSheetId="6">'PR-GO'!$F$60</definedName>
    <definedName name="MOD_4_CUSTO_REPOSICAO_44H" localSheetId="7">'PRM-ANS'!$F$58</definedName>
    <definedName name="MOD_4_CUSTO_REPOSICAO_44H" localSheetId="8">#REF!</definedName>
    <definedName name="MOD_4_CUSTO_REPOSICAO_44H2" localSheetId="7">#REF!</definedName>
    <definedName name="MOD_4_CUSTO_REPOSICAO_44H2" localSheetId="8">#REF!</definedName>
    <definedName name="MOD_4_CUSTO_REPOSICAO_44H2">'PR-GO'!$G$60</definedName>
    <definedName name="MOD_4_CUSTO_REPOSICAO_44H3" localSheetId="7">'PRM-ANS'!$G$58</definedName>
    <definedName name="MOD_4_CUSTO_REPOSICAO_44H3" localSheetId="8">'PRM-LUZ'!$F$58</definedName>
    <definedName name="MOD_4_CUSTO_REPOSICAO_44H3">'PR-GO'!$H$60</definedName>
    <definedName name="MOD_5_INSUMOS_12x36" localSheetId="3">'POSTO 12x36 HORAS'!$F$91</definedName>
    <definedName name="MOD_5_INSUMOS_44H" localSheetId="6">'PR-GO'!$F$68</definedName>
    <definedName name="MOD_5_INSUMOS_44H" localSheetId="7">'PRM-ANS'!$F$66</definedName>
    <definedName name="MOD_5_INSUMOS_44H" localSheetId="8">#REF!</definedName>
    <definedName name="MOD_5_INSUMOS_44H2" localSheetId="7">#REF!</definedName>
    <definedName name="MOD_5_INSUMOS_44H2" localSheetId="8">#REF!</definedName>
    <definedName name="MOD_5_INSUMOS_44H2">'PR-GO'!$G$68</definedName>
    <definedName name="MOD_5_INSUMOS_44H3" localSheetId="7">'PRM-ANS'!$G$66</definedName>
    <definedName name="MOD_5_INSUMOS_44H3" localSheetId="8">'PRM-LUZ'!$F$66</definedName>
    <definedName name="MOD_5_INSUMOS_44H3">'PR-GO'!$H$68</definedName>
    <definedName name="MOD_6_CUSTOS_IND_LUCRO_TRIB_12x36" localSheetId="3">'POSTO 12x36 HORAS'!$F$101</definedName>
    <definedName name="MOD_6_CUSTOS_IND_LUCRO_TRIB_44H" localSheetId="6">'PR-GO'!$F$78</definedName>
    <definedName name="MOD_6_CUSTOS_IND_LUCRO_TRIB_44H" localSheetId="7">'PRM-ANS'!$F$76</definedName>
    <definedName name="MOD_6_CUSTOS_IND_LUCRO_TRIB_44H" localSheetId="8">#REF!</definedName>
    <definedName name="MOD_6_CUSTOS_IND_LUCRO_TRIB_44H2" localSheetId="7">#REF!</definedName>
    <definedName name="MOD_6_CUSTOS_IND_LUCRO_TRIB_44H2" localSheetId="8">#REF!</definedName>
    <definedName name="MOD_6_CUSTOS_IND_LUCRO_TRIB_44H2">'PR-GO'!$G$78</definedName>
    <definedName name="MOD_6_CUSTOS_IND_LUCRO_TRIB_44H3" localSheetId="7">'PRM-ANS'!$G$76</definedName>
    <definedName name="MOD_6_CUSTOS_IND_LUCRO_TRIB_44H3" localSheetId="8">'PRM-LUZ'!$F$76</definedName>
    <definedName name="MOD_6_CUSTOS_IND_LUCRO_TRIB_44H3">'PR-GO'!$H$78</definedName>
    <definedName name="MODALIDADE_DE_LICITACAO">'INSERÇÃO-DE-DADOS'!$D$7</definedName>
    <definedName name="NUMERO_MESES_EXEC_CONTRATUAL">'INSERÇÃO-DE-DADOS'!$F$15</definedName>
    <definedName name="NUMERO_PREGAO">'INSERÇÃO-DE-DADOS'!$F$7</definedName>
    <definedName name="NUMERO_PROCESSO">'INSERÇÃO-DE-DADOS'!$D$6</definedName>
    <definedName name="OUTRAS_AUSENCIAS">'ENCARGOS-SOCIAIS-E-TRABALHISTAS'!$E$34</definedName>
    <definedName name="OUTRAS_AUSENCIAS_DESCRICAO">'INSERÇÃO-DE-DADOS'!$C$68</definedName>
    <definedName name="OUTROS_BENEFICIOS_1">'INSERÇÃO-DE-DADOS'!$F$56</definedName>
    <definedName name="OUTROS_BENEFICIOS_1_DESCRICAO">'INSERÇÃO-DE-DADOS'!$C$56</definedName>
    <definedName name="OUTROS_BENEFICIOS_12">'INSERÇÃO-DE-DADOS'!$G$56</definedName>
    <definedName name="OUTROS_BENEFICIOS_13">'INSERÇÃO-DE-DADOS'!$H$56</definedName>
    <definedName name="OUTROS_BENEFICIOS_2">'INSERÇÃO-DE-DADOS'!$F$57</definedName>
    <definedName name="OUTROS_BENEFICIOS_2_DESCRICAO">'INSERÇÃO-DE-DADOS'!$C$57</definedName>
    <definedName name="OUTROS_BENEFICIOS_22">'INSERÇÃO-DE-DADOS'!$G$57</definedName>
    <definedName name="OUTROS_BENEFICIOS_23">'INSERÇÃO-DE-DADOS'!$H$57</definedName>
    <definedName name="OUTROS_BENEFICIOS_3">'INSERÇÃO-DE-DADOS'!$F$58</definedName>
    <definedName name="OUTROS_BENEFICIOS_3_DESCRICAO">'INSERÇÃO-DE-DADOS'!$C$58</definedName>
    <definedName name="OUTROS_BENEFICIOS_32">'INSERÇÃO-DE-DADOS'!$G$58</definedName>
    <definedName name="OUTROS_BENEFICIOS_33">'INSERÇÃO-DE-DADOS'!$H$58</definedName>
    <definedName name="OUTROS_INSUMOS">'INSERÇÃO-DE-DADOS'!$F$79</definedName>
    <definedName name="OUTROS_INSUMOS_DESCRICAO">'INSERÇÃO-DE-DADOS'!$C$79</definedName>
    <definedName name="OUTROS_INSUMOS2">'INSERÇÃO-DE-DADOS'!$G$79</definedName>
    <definedName name="OUTROS_INSUMOS3">'INSERÇÃO-DE-DADOS'!$H$79</definedName>
    <definedName name="OUTROS_REMUNERACAO_1">'INSERÇÃO-DE-DADOS'!$F$39</definedName>
    <definedName name="OUTROS_REMUNERACAO_1_DESCRICAO">'INSERÇÃO-DE-DADOS'!$C$39</definedName>
    <definedName name="OUTROS_REMUNERACAO_12">'INSERÇÃO-DE-DADOS'!$G$39</definedName>
    <definedName name="OUTROS_REMUNERACAO_13">'INSERÇÃO-DE-DADOS'!$H$39</definedName>
    <definedName name="OUTROS_REMUNERACAO_2">'INSERÇÃO-DE-DADOS'!$F$40</definedName>
    <definedName name="OUTROS_REMUNERACAO_2_DESCRICAO">'INSERÇÃO-DE-DADOS'!$C$40:$E$40</definedName>
    <definedName name="OUTROS_REMUNERACAO_22">'INSERÇÃO-DE-DADOS'!$G$40</definedName>
    <definedName name="OUTROS_REMUNERACAO_23">'INSERÇÃO-DE-DADOS'!$H$40</definedName>
    <definedName name="OUTROS_REMUNERACAO_3">'INSERÇÃO-DE-DADOS'!$F$41</definedName>
    <definedName name="OUTROS_REMUNERACAO_3_DESCRICAO">'INSERÇÃO-DE-DADOS'!$C$41:$E$41</definedName>
    <definedName name="OUTROS_REMUNERACAO_32">'INSERÇÃO-DE-DADOS'!$G$41</definedName>
    <definedName name="OUTROS_REMUNERACAO_33">'INSERÇÃO-DE-DADOS'!$H$41</definedName>
    <definedName name="PERC_ADIC_FERIAS">'ENCARGOS-SOCIAIS-E-TRABALHISTAS'!$E$6</definedName>
    <definedName name="PERC_ADIC_INS">'INSERÇÃO-DE-DADOS'!$F$38</definedName>
    <definedName name="PERC_ADIC_INS2">'INSERÇÃO-DE-DADOS'!$G$38</definedName>
    <definedName name="PERC_ADIC_INS3">'INSERÇÃO-DE-DADOS'!$H$38</definedName>
    <definedName name="PERC_ADIC_NOT">'INSERÇÃO-DE-DADOS'!$F$37</definedName>
    <definedName name="PERC_ADIC_NOT2">'INSERÇÃO-DE-DADOS'!$G$37</definedName>
    <definedName name="PERC_ADIC_NOT3">'INSERÇÃO-DE-DADOS'!$H$37</definedName>
    <definedName name="PERC_ADIC_PERIC">'INSERÇÃO-DE-DADOS'!$F$36</definedName>
    <definedName name="PERC_ADIC_PERIC2">'INSERÇÃO-DE-DADOS'!$G$36</definedName>
    <definedName name="PERC_ADIC_PERIC3">'INSERÇÃO-DE-DADOS'!$H$36</definedName>
    <definedName name="PERC_AVISO_PREVIO_IND">'ENCARGOS-SOCIAIS-E-TRABALHISTAS'!$E$20</definedName>
    <definedName name="PERC_AVISO_PREVIO_TRAB">'ENCARGOS-SOCIAIS-E-TRABALHISTAS'!$E$23</definedName>
    <definedName name="PERC_COFINS">'INSERÇÃO-DE-DADOS'!$F$86</definedName>
    <definedName name="PERC_COFINS2">'INSERÇÃO-DE-DADOS'!$G$86</definedName>
    <definedName name="PERC_COFINS3">'INSERÇÃO-DE-DADOS'!$H$86</definedName>
    <definedName name="PERC_CUSTOS_INDIRETOS">'INSERÇÃO-DE-DADOS'!$F$83</definedName>
    <definedName name="PERC_CUSTOS_INDIRETOS2">'INSERÇÃO-DE-DADOS'!$G$83</definedName>
    <definedName name="PERC_CUSTOS_INDIRETOS3">'INSERÇÃO-DE-DADOS'!$H$83</definedName>
    <definedName name="PERC_DEC_TERC">'ENCARGOS-SOCIAIS-E-TRABALHISTAS'!$E$5</definedName>
    <definedName name="PERC_DESC_TRANSP_REMUNERACAO">'DADOS-ESTATISTICOS'!$F$14</definedName>
    <definedName name="PERC_EMPREG_AFAST_TRAB">'DADOS-ESTATISTICOS'!$F$33</definedName>
    <definedName name="PERC_EMPREG_AVISO_PREVIO_IND">'DADOS-ESTATISTICOS'!$F$21</definedName>
    <definedName name="PERC_EMPREG_AVISO_PREVIO_TRAB">'DADOS-ESTATISTICOS'!$F$23</definedName>
    <definedName name="PERC_EMPREG_DEMIT_SEM_JUSTA_CAUSA_TOTAL_DESLIG">'DADOS-ESTATISTICOS'!$F$20</definedName>
    <definedName name="PERC_FAP">'INSERÇÃO-DE-DADOS'!$F$47</definedName>
    <definedName name="PERC_FGTS">'ENCARGOS-SOCIAIS-E-TRABALHISTAS'!$E$16</definedName>
    <definedName name="PERC_GPS_FGTS">'ENCARGOS-SOCIAIS-E-TRABALHISTAS'!$E$17</definedName>
    <definedName name="PERC_HORA_EXTRA">'INSERÇÃO-DE-DADOS'!$F$62</definedName>
    <definedName name="PERC_HORA_EXTRA2">'INSERÇÃO-DE-DADOS'!$G$62</definedName>
    <definedName name="PERC_HORA_EXTRA3">'INSERÇÃO-DE-DADOS'!$H$62</definedName>
    <definedName name="PERC_INCRA">'ENCARGOS-SOCIAIS-E-TRABALHISTAS'!$E$15</definedName>
    <definedName name="PERC_INSS">'ENCARGOS-SOCIAIS-E-TRABALHISTAS'!$E$9</definedName>
    <definedName name="PERC_ISS">'INSERÇÃO-DE-DADOS'!$F$87</definedName>
    <definedName name="PERC_ISS2">'INSERÇÃO-DE-DADOS'!$G$87</definedName>
    <definedName name="PERC_ISS3">'INSERÇÃO-DE-DADOS'!$H$87</definedName>
    <definedName name="PERC_LUCRO">'INSERÇÃO-DE-DADOS'!$F$84</definedName>
    <definedName name="PERC_LUCRO2">'INSERÇÃO-DE-DADOS'!$G$84</definedName>
    <definedName name="PERC_LUCRO3">'INSERÇÃO-DE-DADOS'!$H$84</definedName>
    <definedName name="PERC_MOD_3_PROVISAO_RESCISAO" localSheetId="3">'POSTO 12x36 HORAS'!$E$68</definedName>
    <definedName name="PERC_MOD_3_PROVISAO_RESCISAO" localSheetId="6">'PR-GO'!$E$49</definedName>
    <definedName name="PERC_MOD_3_PROVISAO_RESCISAO" localSheetId="7">'PRM-ANS'!$E$47</definedName>
    <definedName name="PERC_MOD_3_PROVISAO_RESCISAO" localSheetId="8">'PRM-LUZ'!$E$47</definedName>
    <definedName name="PERC_MULTA_FGTS">'DADOS-ESTATISTICOS'!$F$22</definedName>
    <definedName name="PERC_MULTA_FGTS_AV_PREV_IND">'ENCARGOS-SOCIAIS-E-TRABALHISTAS'!$E$22</definedName>
    <definedName name="PERC_MULTA_FGTS_AV_PREV_TRAB">'ENCARGOS-SOCIAIS-E-TRABALHISTAS'!$E$25</definedName>
    <definedName name="PERC_NASCIDOS_VIVOS_POPUL_FEM">'DADOS-ESTATISTICOS'!$F$31</definedName>
    <definedName name="PERC_PARTIC_FEM_VIGIL">'DADOS-ESTATISTICOS'!$F$36</definedName>
    <definedName name="PERC_PARTIC_MASC_VIGIL">'DADOS-ESTATISTICOS'!$F$32</definedName>
    <definedName name="PERC_PAT">'INSERÇÃO-DE-DADOS'!$F$55</definedName>
    <definedName name="PERC_PIS">'INSERÇÃO-DE-DADOS'!$F$85</definedName>
    <definedName name="PERC_PIS2">'INSERÇÃO-DE-DADOS'!$G$85</definedName>
    <definedName name="PERC_PIS3">'INSERÇÃO-DE-DADOS'!$H$85</definedName>
    <definedName name="PERC_RAT">'ENCARGOS-SOCIAIS-E-TRABALHISTAS'!$E$11</definedName>
    <definedName name="PERC_SAL_EDUCACAO">'ENCARGOS-SOCIAIS-E-TRABALHISTAS'!$E$10</definedName>
    <definedName name="PERC_SEBRAE">'ENCARGOS-SOCIAIS-E-TRABALHISTAS'!$E$14</definedName>
    <definedName name="PERC_SENAC">'ENCARGOS-SOCIAIS-E-TRABALHISTAS'!$E$13</definedName>
    <definedName name="PERC_SESC">'ENCARGOS-SOCIAIS-E-TRABALHISTAS'!$E$12</definedName>
    <definedName name="PERC_SUBSTITUTO_ACID_TRAB">'ENCARGOS-SOCIAIS-E-TRABALHISTAS'!$E$32</definedName>
    <definedName name="PERC_SUBSTITUTO_AFAST_MATERN">'ENCARGOS-SOCIAIS-E-TRABALHISTAS'!$E$33</definedName>
    <definedName name="PERC_SUBSTITUTO_AUSENCIAS_LEGAIS">'ENCARGOS-SOCIAIS-E-TRABALHISTAS'!$E$30</definedName>
    <definedName name="PERC_SUBSTITUTO_FERIAS">'ENCARGOS-SOCIAIS-E-TRABALHISTAS'!$E$29</definedName>
    <definedName name="PERC_SUBSTITUTO_LICENCA_PATERNIDADE">'ENCARGOS-SOCIAIS-E-TRABALHISTAS'!$E$31</definedName>
    <definedName name="PERC_SUBSTITUTO_OUTRAS_AUSENCIAS">'INSERÇÃO-DE-DADOS'!$F$68</definedName>
    <definedName name="PERC_SUBSTITUTO_OUTRAS_AUSENCIAS2">'INSERÇÃO-DE-DADOS'!$G$68</definedName>
    <definedName name="PERC_SUBSTITUTO_OUTRAS_AUSENCIAS3">'INSERÇÃO-DE-DADOS'!$H$68</definedName>
    <definedName name="PERC_TRIBUTOS" localSheetId="3">'POSTO 12x36 HORAS'!$E$97</definedName>
    <definedName name="PERC_TRIBUTOS" localSheetId="6">'PR-GO'!$E$74</definedName>
    <definedName name="PERC_TRIBUTOS" localSheetId="7">'PRM-ANS'!$E$72</definedName>
    <definedName name="PERC_TRIBUTOS" localSheetId="8">'PRM-LUZ'!$E$72</definedName>
    <definedName name="QTDE_POSTOS" localSheetId="3">'INSERÇÃO-DE-DADOS'!$F$21</definedName>
    <definedName name="QTDE_POSTOS" localSheetId="6">'INSERÇÃO-DE-DADOS'!$F$21</definedName>
    <definedName name="QTDE_POSTOS" localSheetId="7">'INSERÇÃO-DE-DADOS'!$F$21</definedName>
    <definedName name="QTDE_POSTOS" localSheetId="8">'INSERÇÃO-DE-DADOS'!$F$21</definedName>
    <definedName name="QTDE_POSTOS">'INSERÇÃO-DE-DADOS'!$F$21</definedName>
    <definedName name="QTDE_POSTOS_ANS">'INSERÇÃO-DE-DADOS'!$F$22</definedName>
    <definedName name="QTDE_POSTOS_ANS2">'INSERÇÃO-DE-DADOS'!$G$22</definedName>
    <definedName name="QTDE_POSTOS_ANS3">'INSERÇÃO-DE-DADOS'!$H$22</definedName>
    <definedName name="QTDE_POSTOS_LUZ">'INSERÇÃO-DE-DADOS'!$F$23</definedName>
    <definedName name="QTDE_POSTOS_LUZ2">'INSERÇÃO-DE-DADOS'!$G$23</definedName>
    <definedName name="QTDE_POSTOS_LUZ3">'INSERÇÃO-DE-DADOS'!$H$23</definedName>
    <definedName name="QTDE_POSTOS_PRGO">'INSERÇÃO-DE-DADOS'!$F$21</definedName>
    <definedName name="QTDE_POSTOS_PRGO2">'INSERÇÃO-DE-DADOS'!$G$21</definedName>
    <definedName name="QTDE_POSTOS_PRGO3">'INSERÇÃO-DE-DADOS'!$H$21</definedName>
    <definedName name="RAMO">'INSERÇÃO-DE-DADOS'!$B$1</definedName>
    <definedName name="SAL_MINIMO">'INSERÇÃO-DE-DADOS'!$F$30</definedName>
    <definedName name="SALARIO_BASE">'INSERÇÃO-DE-DADOS'!$F$35</definedName>
    <definedName name="SALARIO_BASE2">'INSERÇÃO-DE-DADOS'!$G$35</definedName>
    <definedName name="SALARIO_BASE3">'INSERÇÃO-DE-DADOS'!$H$35</definedName>
    <definedName name="SALARIO_BASE32">#REF!</definedName>
    <definedName name="SUBMOD_2_1_DEC_TERC_ADIC_FERIAS_12x36" localSheetId="3">'POSTO 12x36 HORAS'!$F$36</definedName>
    <definedName name="SUBMOD_2_1_DEC_TERC_ADIC_FERIAS_44H" localSheetId="7">'PRM-ANS'!$F$19</definedName>
    <definedName name="SUBMOD_2_1_DEC_TERC_ADIC_FERIAS_44H" localSheetId="8">#REF!</definedName>
    <definedName name="SUBMOD_2_1_DEC_TERC_ADIC_FERIAS_44H">'PR-GO'!$F$21</definedName>
    <definedName name="SUBMOD_2_1_DEC_TERC_ADIC_FERIAS_44H2" localSheetId="7">#REF!</definedName>
    <definedName name="SUBMOD_2_1_DEC_TERC_ADIC_FERIAS_44H2" localSheetId="8">#REF!</definedName>
    <definedName name="SUBMOD_2_1_DEC_TERC_ADIC_FERIAS_44H2">'PR-GO'!$G$21</definedName>
    <definedName name="SUBMOD_2_1_DEC_TERC_ADIC_FERIAS_44H3" localSheetId="7">'PRM-ANS'!$G$19</definedName>
    <definedName name="SUBMOD_2_1_DEC_TERC_ADIC_FERIAS_44H3" localSheetId="8">'PRM-LUZ'!$F$19</definedName>
    <definedName name="SUBMOD_2_1_DEC_TERC_ADIC_FERIAS_44H3">'PR-GO'!$H$21</definedName>
    <definedName name="SUBMOD_2_2_GPS_FGTS_12x36" localSheetId="3">'POSTO 12x36 HORAS'!$F$47</definedName>
    <definedName name="SUBMOD_2_2_GPS_FGTS_44H" localSheetId="6">'PR-GO'!$F$32</definedName>
    <definedName name="SUBMOD_2_2_GPS_FGTS_44H" localSheetId="7">'PRM-ANS'!$F$30</definedName>
    <definedName name="SUBMOD_2_2_GPS_FGTS_44H" localSheetId="8">#REF!</definedName>
    <definedName name="SUBMOD_2_3_BENEFICIOS_12x36" localSheetId="3">'POSTO 12x36 HORAS'!$F$55</definedName>
    <definedName name="SUBMOD_2_3_BENEFICIOS_44H" localSheetId="6">'PR-GO'!$F$40</definedName>
    <definedName name="SUBMOD_2_3_BENEFICIOS_44H" localSheetId="7">'PRM-ANS'!$F$38</definedName>
    <definedName name="SUBMOD_2_3_BENEFICIOS_44H" localSheetId="8">#REF!</definedName>
    <definedName name="SUBMOD_2_4_INTERVALO_INTRAJORNADA_12X36">'POSTO 12x36 HORAS'!$F$59</definedName>
    <definedName name="SUBMOD_4_1_SUBSTITUTO_12x36" localSheetId="3">'POSTO 12x36 HORAS'!$F$79</definedName>
    <definedName name="SUBMOD_4_1_SUBSTITUTO_44H" localSheetId="6">'PR-GO'!$F$60</definedName>
    <definedName name="SUBMOD_4_1_SUBSTITUTO_44H" localSheetId="7">'PRM-ANS'!$F$58</definedName>
    <definedName name="SUBMOD_4_1_SUBSTITUTO_44H" localSheetId="8">#REF!</definedName>
    <definedName name="SUBMOD_4_2_INTRAJORNADA_12x36" localSheetId="3">'POSTO 12x36 HORAS'!$F$83</definedName>
    <definedName name="TEMPO_INTERVALO_REFEICAO_INTERV_INTRA">'INSERÇÃO-DE-DADOS'!$F$63</definedName>
    <definedName name="TEMPO_INTERVALO_REFEICAO_INTERV_INTRA2">'INSERÇÃO-DE-DADOS'!$G$63</definedName>
    <definedName name="TEMPO_INTERVALO_REFEICAO_INTERV_INTRA3">'INSERÇÃO-DE-DADOS'!$H$63</definedName>
    <definedName name="TEMPO_INTERVALO_REFEICAO_SUBST_INTRA">'INSERÇÃO-DE-DADOS'!$F$72</definedName>
    <definedName name="TEMPO_INTERVALO_REFEICAO_SUBST_INTRA2">'INSERÇÃO-DE-DADOS'!$G$72</definedName>
    <definedName name="TEMPO_INTERVALO_REFEICAO_SUBST_INTRA3">'INSERÇÃO-DE-DADOS'!$H$72</definedName>
    <definedName name="TIPO_DE_SERVICO">'INSERÇÃO-DE-DADOS'!$C$21</definedName>
    <definedName name="TRANSPORTE_POR_DIA">'INSERÇÃO-DE-DADOS'!$F$51</definedName>
    <definedName name="TRANSPORTE_POR_DIA_ANA">'INSERÇÃO-DE-DADOS'!$F$52</definedName>
    <definedName name="TRANSPORTE_POR_DIA_ANA2">'INSERÇÃO-DE-DADOS'!$G$52</definedName>
    <definedName name="TRANSPORTE_POR_DIA_ANA3">'INSERÇÃO-DE-DADOS'!$H$52</definedName>
    <definedName name="TRANSPORTE_POR_DIA_LUZ">'INSERÇÃO-DE-DADOS'!$F$53</definedName>
    <definedName name="TRANSPORTE_POR_DIA_LUZ2">'INSERÇÃO-DE-DADOS'!$G$53</definedName>
    <definedName name="TRANSPORTE_POR_DIA_LUZ3">'INSERÇÃO-DE-DADOS'!$H$53</definedName>
    <definedName name="TRANSPORTE_POR_DIA2">'INSERÇÃO-DE-DADOS'!$G$51</definedName>
    <definedName name="TRANSPORTE_POR_DIA3">'INSERÇÃO-DE-DADOS'!$H$51</definedName>
    <definedName name="UG">'INSERÇÃO-DE-DADOS'!$C$2</definedName>
    <definedName name="UNIFORMES">'INSERÇÃO-DE-DADOS'!$F$76</definedName>
    <definedName name="UNIFORMES2">'INSERÇÃO-DE-DADOS'!$G$76</definedName>
    <definedName name="UNIFORMES3">'INSERÇÃO-DE-DADOS'!$H$76</definedName>
    <definedName name="VALOR_TOTAL_EMPREGADO_12x36" localSheetId="3">'POSTO 12x36 HORAS'!$F$110</definedName>
    <definedName name="VALOR_TOTAL_EMPREGADO_44H" localSheetId="6">'PR-GO'!$F$87</definedName>
    <definedName name="VALOR_TOTAL_EMPREGADO_44H" localSheetId="7">'PRM-ANS'!$F$85</definedName>
    <definedName name="VALOR_TOTAL_EMPREGADO_44H" localSheetId="8">#REF!</definedName>
    <definedName name="VALOR_TOTAL_EMPREGADO_44H2" localSheetId="7">#REF!</definedName>
    <definedName name="VALOR_TOTAL_EMPREGADO_44H2" localSheetId="8">#REF!</definedName>
    <definedName name="VALOR_TOTAL_EMPREGADO_44H2">'PR-GO'!$G$87</definedName>
    <definedName name="VALOR_TOTAL_EMPREGADO_44H3" localSheetId="7">'PRM-ANS'!$G$85</definedName>
    <definedName name="VALOR_TOTAL_EMPREGADO_44H3" localSheetId="8">'PRM-LUZ'!$F$85</definedName>
    <definedName name="VALOR_TOTAL_EMPREGADO_44H3">'PR-GO'!$H$87</definedName>
    <definedName name="VALOR_TOTAL_POSTO_12x36" localSheetId="3">'POSTO 12x36 HORAS'!$F$111</definedName>
    <definedName name="VALOR_TOTAL_POSTO_44H" localSheetId="6">'PR-GO'!$F$88</definedName>
    <definedName name="VALOR_TOTAL_POSTO_44H" localSheetId="7">'PRM-ANS'!$F$86</definedName>
    <definedName name="VALOR_TOTAL_POSTO_44H" localSheetId="8">#REF!</definedName>
  </definedName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34" i="10" l="1"/>
  <c r="F34" i="10" s="1"/>
  <c r="G34" i="10" s="1"/>
  <c r="E29" i="10"/>
  <c r="E27" i="10"/>
  <c r="E24" i="10"/>
  <c r="G17" i="9"/>
  <c r="G16" i="9"/>
  <c r="G15" i="9"/>
  <c r="G14" i="9"/>
  <c r="G18" i="9" s="1"/>
  <c r="G19" i="9" s="1"/>
  <c r="J6" i="9"/>
  <c r="K6" i="9" s="1"/>
  <c r="L6" i="9" s="1"/>
  <c r="L7" i="9" s="1"/>
  <c r="G6" i="9"/>
  <c r="E75" i="8"/>
  <c r="E74" i="8"/>
  <c r="E72" i="8" s="1"/>
  <c r="E73" i="8"/>
  <c r="E71" i="8"/>
  <c r="E70" i="8"/>
  <c r="F65" i="8"/>
  <c r="C65" i="8"/>
  <c r="F64" i="8"/>
  <c r="F63" i="8"/>
  <c r="E57" i="8"/>
  <c r="C57" i="8"/>
  <c r="E43" i="8"/>
  <c r="F37" i="8"/>
  <c r="C37" i="8"/>
  <c r="F36" i="8"/>
  <c r="C36" i="8"/>
  <c r="F35" i="8"/>
  <c r="C35" i="8"/>
  <c r="F34" i="8"/>
  <c r="E29" i="8"/>
  <c r="E28" i="8"/>
  <c r="E27" i="8"/>
  <c r="E26" i="8"/>
  <c r="E25" i="8"/>
  <c r="E23" i="8"/>
  <c r="E22" i="8"/>
  <c r="F12" i="8"/>
  <c r="C12" i="8"/>
  <c r="F11" i="8"/>
  <c r="C11" i="8"/>
  <c r="F10" i="8"/>
  <c r="C10" i="8"/>
  <c r="F9" i="8"/>
  <c r="F4" i="8"/>
  <c r="E75" i="7"/>
  <c r="E74" i="7"/>
  <c r="E73" i="7"/>
  <c r="E72" i="7"/>
  <c r="E71" i="7"/>
  <c r="E70" i="7"/>
  <c r="G65" i="7"/>
  <c r="F65" i="7"/>
  <c r="C65" i="7"/>
  <c r="G64" i="7"/>
  <c r="F64" i="7"/>
  <c r="G63" i="7"/>
  <c r="F63" i="7"/>
  <c r="E57" i="7"/>
  <c r="C57" i="7"/>
  <c r="G37" i="7"/>
  <c r="F37" i="7"/>
  <c r="C37" i="7"/>
  <c r="G36" i="7"/>
  <c r="F36" i="7"/>
  <c r="C36" i="7"/>
  <c r="G35" i="7"/>
  <c r="F35" i="7"/>
  <c r="C35" i="7"/>
  <c r="G34" i="7"/>
  <c r="F34" i="7"/>
  <c r="E29" i="7"/>
  <c r="E28" i="7"/>
  <c r="E27" i="7"/>
  <c r="E26" i="7"/>
  <c r="E25" i="7"/>
  <c r="E23" i="7"/>
  <c r="E22" i="7"/>
  <c r="G12" i="7"/>
  <c r="F12" i="7"/>
  <c r="C12" i="7"/>
  <c r="G11" i="7"/>
  <c r="F11" i="7"/>
  <c r="C11" i="7"/>
  <c r="G10" i="7"/>
  <c r="F10" i="7"/>
  <c r="C10" i="7"/>
  <c r="G9" i="7"/>
  <c r="F9" i="7"/>
  <c r="G4" i="7"/>
  <c r="F4" i="7"/>
  <c r="E77" i="6"/>
  <c r="E76" i="6"/>
  <c r="E75" i="6"/>
  <c r="E73" i="6"/>
  <c r="E72" i="6"/>
  <c r="H67" i="6"/>
  <c r="F67" i="6"/>
  <c r="H66" i="6"/>
  <c r="F66" i="6"/>
  <c r="H65" i="6"/>
  <c r="G65" i="6"/>
  <c r="F65" i="6"/>
  <c r="E59" i="6"/>
  <c r="C59" i="6"/>
  <c r="H39" i="6"/>
  <c r="G39" i="6"/>
  <c r="F39" i="6"/>
  <c r="C39" i="6"/>
  <c r="H38" i="6"/>
  <c r="G38" i="6"/>
  <c r="F38" i="6"/>
  <c r="C38" i="6"/>
  <c r="H37" i="6"/>
  <c r="G37" i="6"/>
  <c r="F37" i="6"/>
  <c r="C37" i="6"/>
  <c r="H36" i="6"/>
  <c r="G36" i="6"/>
  <c r="F36" i="6"/>
  <c r="E31" i="6"/>
  <c r="E30" i="6"/>
  <c r="E29" i="6"/>
  <c r="E28" i="6"/>
  <c r="E27" i="6"/>
  <c r="E25" i="6"/>
  <c r="E24" i="6"/>
  <c r="H14" i="6"/>
  <c r="G14" i="6"/>
  <c r="F14" i="6"/>
  <c r="C14" i="6"/>
  <c r="H13" i="6"/>
  <c r="G13" i="6"/>
  <c r="F13" i="6"/>
  <c r="C13" i="6"/>
  <c r="H12" i="6"/>
  <c r="G12" i="6"/>
  <c r="F12" i="6"/>
  <c r="C12" i="6"/>
  <c r="H11" i="6"/>
  <c r="G11" i="6"/>
  <c r="F11" i="6"/>
  <c r="H6" i="6"/>
  <c r="G6" i="6"/>
  <c r="F6" i="6"/>
  <c r="E22" i="5"/>
  <c r="F22" i="5" s="1"/>
  <c r="E21" i="5"/>
  <c r="F21" i="5" s="1"/>
  <c r="E20" i="5"/>
  <c r="F20" i="5" s="1"/>
  <c r="E19" i="5"/>
  <c r="F19" i="5" s="1"/>
  <c r="E18" i="5"/>
  <c r="F18" i="5" s="1"/>
  <c r="E14" i="5"/>
  <c r="F14" i="5" s="1"/>
  <c r="E13" i="5"/>
  <c r="F13" i="5" s="1"/>
  <c r="E12" i="5"/>
  <c r="F12" i="5" s="1"/>
  <c r="E11" i="5"/>
  <c r="F11" i="5" s="1"/>
  <c r="E10" i="5"/>
  <c r="F10" i="5" s="1"/>
  <c r="E6" i="5"/>
  <c r="F6" i="5" s="1"/>
  <c r="E5" i="5"/>
  <c r="F5" i="5" s="1"/>
  <c r="E4" i="5"/>
  <c r="E3" i="5"/>
  <c r="F3" i="5" s="1"/>
  <c r="E100" i="4"/>
  <c r="E99" i="4"/>
  <c r="E98" i="4"/>
  <c r="E96" i="4"/>
  <c r="E95" i="4"/>
  <c r="F90" i="4"/>
  <c r="C90" i="4"/>
  <c r="F89" i="4"/>
  <c r="F88" i="4"/>
  <c r="E78" i="4"/>
  <c r="C78" i="4"/>
  <c r="E75" i="4"/>
  <c r="E73" i="4"/>
  <c r="E62" i="4"/>
  <c r="F54" i="4"/>
  <c r="C54" i="4"/>
  <c r="F53" i="4"/>
  <c r="C53" i="4"/>
  <c r="F52" i="4"/>
  <c r="C52" i="4"/>
  <c r="F51" i="4"/>
  <c r="E46" i="4"/>
  <c r="E45" i="4"/>
  <c r="E44" i="4"/>
  <c r="E43" i="4"/>
  <c r="E42" i="4"/>
  <c r="E40" i="4"/>
  <c r="E39" i="4"/>
  <c r="E35" i="4"/>
  <c r="F29" i="4"/>
  <c r="C29" i="4"/>
  <c r="F28" i="4"/>
  <c r="C28" i="4"/>
  <c r="F27" i="4"/>
  <c r="C27" i="4"/>
  <c r="F26" i="4"/>
  <c r="F19" i="4"/>
  <c r="F17" i="4"/>
  <c r="D16" i="4"/>
  <c r="D15" i="4"/>
  <c r="E14" i="4"/>
  <c r="F12" i="4"/>
  <c r="F11" i="4"/>
  <c r="F10" i="4"/>
  <c r="D9" i="4"/>
  <c r="F8" i="4"/>
  <c r="F6" i="4"/>
  <c r="D6" i="4"/>
  <c r="D5" i="4"/>
  <c r="F2" i="4"/>
  <c r="B2" i="4"/>
  <c r="B1" i="4"/>
  <c r="E34" i="3"/>
  <c r="C34" i="3"/>
  <c r="E31" i="3"/>
  <c r="E30" i="3"/>
  <c r="E29" i="3"/>
  <c r="E25" i="3"/>
  <c r="E46" i="8" s="1"/>
  <c r="E23" i="3"/>
  <c r="E22" i="3"/>
  <c r="E21" i="3"/>
  <c r="E20" i="3"/>
  <c r="E11" i="3"/>
  <c r="E41" i="4" s="1"/>
  <c r="E6" i="3"/>
  <c r="E5" i="3"/>
  <c r="F33" i="2"/>
  <c r="E32" i="3" s="1"/>
  <c r="H35" i="1"/>
  <c r="H10" i="6" s="1"/>
  <c r="G35" i="1"/>
  <c r="G10" i="6" s="1"/>
  <c r="F35" i="1"/>
  <c r="E74" i="6" l="1"/>
  <c r="E7" i="5"/>
  <c r="F23" i="5"/>
  <c r="H76" i="1" s="1"/>
  <c r="G62" i="7" s="1"/>
  <c r="G66" i="7" s="1"/>
  <c r="G83" i="7" s="1"/>
  <c r="F15" i="5"/>
  <c r="G76" i="1" s="1"/>
  <c r="G64" i="6" s="1"/>
  <c r="G79" i="1"/>
  <c r="G67" i="6"/>
  <c r="E30" i="10"/>
  <c r="G66" i="6"/>
  <c r="G78" i="1"/>
  <c r="F62" i="8"/>
  <c r="F66" i="8" s="1"/>
  <c r="F83" i="8" s="1"/>
  <c r="H64" i="6"/>
  <c r="H68" i="6" s="1"/>
  <c r="H85" i="6" s="1"/>
  <c r="E57" i="6"/>
  <c r="E55" i="8"/>
  <c r="E55" i="7"/>
  <c r="E76" i="4"/>
  <c r="E53" i="8"/>
  <c r="E55" i="6"/>
  <c r="E53" i="7"/>
  <c r="E64" i="4"/>
  <c r="E45" i="6"/>
  <c r="E43" i="7"/>
  <c r="E15" i="5"/>
  <c r="E20" i="6"/>
  <c r="E18" i="7"/>
  <c r="E18" i="8"/>
  <c r="E44" i="7"/>
  <c r="E44" i="8"/>
  <c r="E46" i="6"/>
  <c r="E97" i="4"/>
  <c r="F4" i="5"/>
  <c r="F7" i="5" s="1"/>
  <c r="F76" i="1" s="1"/>
  <c r="G8" i="7"/>
  <c r="F8" i="8"/>
  <c r="F7" i="8"/>
  <c r="G7" i="7"/>
  <c r="H9" i="6"/>
  <c r="E42" i="7"/>
  <c r="E42" i="8"/>
  <c r="E63" i="4"/>
  <c r="E54" i="7"/>
  <c r="E17" i="7"/>
  <c r="E24" i="8"/>
  <c r="E24" i="7"/>
  <c r="E23" i="5"/>
  <c r="F8" i="7"/>
  <c r="F10" i="6"/>
  <c r="F7" i="7"/>
  <c r="E17" i="3"/>
  <c r="E46" i="7"/>
  <c r="E67" i="4"/>
  <c r="E48" i="6"/>
  <c r="F22" i="4"/>
  <c r="E34" i="4"/>
  <c r="F9" i="6"/>
  <c r="E26" i="6"/>
  <c r="E56" i="6"/>
  <c r="E41" i="8"/>
  <c r="E41" i="7"/>
  <c r="E43" i="6"/>
  <c r="E54" i="6"/>
  <c r="E52" i="7"/>
  <c r="E52" i="8"/>
  <c r="F23" i="4"/>
  <c r="E65" i="4"/>
  <c r="E74" i="4"/>
  <c r="G9" i="6"/>
  <c r="E19" i="6"/>
  <c r="E44" i="6"/>
  <c r="E17" i="8"/>
  <c r="E54" i="8"/>
  <c r="G68" i="6" l="1"/>
  <c r="G85" i="6" s="1"/>
  <c r="F64" i="6"/>
  <c r="F68" i="6" s="1"/>
  <c r="F85" i="6" s="1"/>
  <c r="F62" i="7"/>
  <c r="F66" i="7" s="1"/>
  <c r="F83" i="7" s="1"/>
  <c r="F87" i="4"/>
  <c r="F91" i="4" s="1"/>
  <c r="F108" i="4" s="1"/>
  <c r="F35" i="6"/>
  <c r="F40" i="6" s="1"/>
  <c r="F15" i="6"/>
  <c r="G33" i="7"/>
  <c r="G38" i="7" s="1"/>
  <c r="G13" i="7"/>
  <c r="G15" i="6"/>
  <c r="G35" i="6"/>
  <c r="G40" i="6" s="1"/>
  <c r="F33" i="8"/>
  <c r="F38" i="8" s="1"/>
  <c r="F13" i="8"/>
  <c r="E33" i="3"/>
  <c r="E24" i="3"/>
  <c r="F24" i="4"/>
  <c r="F50" i="4"/>
  <c r="F55" i="4" s="1"/>
  <c r="F25" i="4"/>
  <c r="F33" i="7"/>
  <c r="F38" i="7" s="1"/>
  <c r="F13" i="7"/>
  <c r="H35" i="6"/>
  <c r="H40" i="6" s="1"/>
  <c r="H15" i="6"/>
  <c r="F30" i="4" l="1"/>
  <c r="F58" i="4" s="1"/>
  <c r="F59" i="4" s="1"/>
  <c r="E56" i="8"/>
  <c r="E56" i="7"/>
  <c r="E77" i="4"/>
  <c r="E58" i="6"/>
  <c r="F79" i="8"/>
  <c r="F17" i="8"/>
  <c r="F18" i="8"/>
  <c r="F81" i="6"/>
  <c r="F20" i="6"/>
  <c r="F19" i="6"/>
  <c r="H81" i="6"/>
  <c r="H19" i="6"/>
  <c r="H20" i="6"/>
  <c r="G81" i="6"/>
  <c r="G20" i="6"/>
  <c r="G19" i="6"/>
  <c r="F79" i="7"/>
  <c r="F17" i="7"/>
  <c r="F18" i="7"/>
  <c r="E45" i="8"/>
  <c r="E66" i="4"/>
  <c r="E45" i="7"/>
  <c r="E47" i="6"/>
  <c r="G79" i="7"/>
  <c r="G18" i="7"/>
  <c r="G17" i="7"/>
  <c r="G19" i="7" s="1"/>
  <c r="G27" i="7" s="1"/>
  <c r="F34" i="4" l="1"/>
  <c r="F35" i="4"/>
  <c r="F104" i="4"/>
  <c r="G24" i="7"/>
  <c r="G46" i="7"/>
  <c r="G25" i="7"/>
  <c r="G22" i="7"/>
  <c r="G28" i="7"/>
  <c r="G41" i="7"/>
  <c r="F19" i="8"/>
  <c r="F26" i="8" s="1"/>
  <c r="H21" i="6"/>
  <c r="H48" i="6" s="1"/>
  <c r="H31" i="6"/>
  <c r="G29" i="7"/>
  <c r="G26" i="7"/>
  <c r="G45" i="7"/>
  <c r="F19" i="7"/>
  <c r="G21" i="6"/>
  <c r="H43" i="6"/>
  <c r="F21" i="6"/>
  <c r="G44" i="7"/>
  <c r="G42" i="7"/>
  <c r="G43" i="7"/>
  <c r="G23" i="7"/>
  <c r="H46" i="6" l="1"/>
  <c r="H29" i="6"/>
  <c r="F36" i="4"/>
  <c r="F66" i="4" s="1"/>
  <c r="F29" i="8"/>
  <c r="G47" i="7"/>
  <c r="G81" i="7" s="1"/>
  <c r="F25" i="8"/>
  <c r="H26" i="6"/>
  <c r="F27" i="8"/>
  <c r="H45" i="6"/>
  <c r="G30" i="7"/>
  <c r="G52" i="7" s="1"/>
  <c r="F23" i="8"/>
  <c r="F44" i="8"/>
  <c r="F43" i="8"/>
  <c r="F42" i="8"/>
  <c r="F45" i="8"/>
  <c r="F28" i="8"/>
  <c r="F22" i="8"/>
  <c r="F41" i="8"/>
  <c r="F24" i="8"/>
  <c r="F46" i="8"/>
  <c r="H30" i="6"/>
  <c r="H47" i="6"/>
  <c r="H27" i="6"/>
  <c r="H25" i="6"/>
  <c r="H28" i="6"/>
  <c r="H44" i="6"/>
  <c r="H24" i="6"/>
  <c r="F30" i="6"/>
  <c r="F45" i="6"/>
  <c r="F26" i="6"/>
  <c r="F28" i="6"/>
  <c r="F24" i="6"/>
  <c r="F43" i="6"/>
  <c r="F31" i="6"/>
  <c r="F29" i="6"/>
  <c r="F44" i="6"/>
  <c r="F27" i="6"/>
  <c r="F25" i="6"/>
  <c r="F46" i="6"/>
  <c r="F47" i="6"/>
  <c r="F48" i="6"/>
  <c r="G29" i="6"/>
  <c r="G43" i="6"/>
  <c r="G24" i="6"/>
  <c r="G45" i="6"/>
  <c r="G26" i="6"/>
  <c r="G44" i="6"/>
  <c r="G47" i="6"/>
  <c r="G27" i="6"/>
  <c r="G25" i="6"/>
  <c r="G30" i="6"/>
  <c r="G31" i="6"/>
  <c r="G48" i="6"/>
  <c r="G28" i="6"/>
  <c r="G46" i="6"/>
  <c r="F45" i="4"/>
  <c r="F43" i="4"/>
  <c r="F65" i="4"/>
  <c r="F39" i="4"/>
  <c r="F62" i="4"/>
  <c r="F41" i="4"/>
  <c r="F42" i="4"/>
  <c r="F40" i="4"/>
  <c r="F63" i="4"/>
  <c r="F44" i="4"/>
  <c r="F64" i="4"/>
  <c r="F46" i="4"/>
  <c r="F67" i="4"/>
  <c r="F23" i="7"/>
  <c r="F43" i="7"/>
  <c r="F25" i="7"/>
  <c r="F41" i="7"/>
  <c r="F27" i="7"/>
  <c r="F29" i="7"/>
  <c r="F24" i="7"/>
  <c r="F28" i="7"/>
  <c r="F42" i="7"/>
  <c r="F46" i="7"/>
  <c r="F45" i="7"/>
  <c r="F26" i="7"/>
  <c r="F22" i="7"/>
  <c r="F44" i="7"/>
  <c r="G80" i="7" l="1"/>
  <c r="G55" i="7"/>
  <c r="F30" i="8"/>
  <c r="F53" i="8" s="1"/>
  <c r="G56" i="7"/>
  <c r="G53" i="7"/>
  <c r="G57" i="7"/>
  <c r="F30" i="7"/>
  <c r="F80" i="7" s="1"/>
  <c r="G54" i="7"/>
  <c r="F80" i="8"/>
  <c r="F47" i="8"/>
  <c r="F81" i="8" s="1"/>
  <c r="H49" i="6"/>
  <c r="H83" i="6" s="1"/>
  <c r="H32" i="6"/>
  <c r="H82" i="6" s="1"/>
  <c r="F32" i="6"/>
  <c r="F56" i="6" s="1"/>
  <c r="F47" i="7"/>
  <c r="G49" i="6"/>
  <c r="F68" i="4"/>
  <c r="F47" i="4"/>
  <c r="F49" i="6"/>
  <c r="F53" i="7"/>
  <c r="G32" i="6"/>
  <c r="F55" i="7"/>
  <c r="F56" i="7" l="1"/>
  <c r="F55" i="8"/>
  <c r="F52" i="8"/>
  <c r="G58" i="7"/>
  <c r="G82" i="7" s="1"/>
  <c r="F57" i="8"/>
  <c r="F54" i="8"/>
  <c r="F56" i="8"/>
  <c r="H59" i="6"/>
  <c r="H57" i="6"/>
  <c r="H55" i="6"/>
  <c r="F57" i="7"/>
  <c r="F52" i="7"/>
  <c r="F54" i="7"/>
  <c r="H58" i="6"/>
  <c r="H54" i="6"/>
  <c r="H56" i="6"/>
  <c r="F58" i="6"/>
  <c r="F54" i="6"/>
  <c r="F55" i="6"/>
  <c r="F59" i="6"/>
  <c r="F57" i="6"/>
  <c r="F82" i="6"/>
  <c r="F83" i="6"/>
  <c r="F106" i="4"/>
  <c r="F82" i="4"/>
  <c r="F83" i="4" s="1"/>
  <c r="G54" i="6"/>
  <c r="G82" i="6"/>
  <c r="G56" i="6"/>
  <c r="G58" i="6"/>
  <c r="G55" i="6"/>
  <c r="G57" i="6"/>
  <c r="G59" i="6"/>
  <c r="G83" i="6"/>
  <c r="F81" i="7"/>
  <c r="F73" i="4"/>
  <c r="F75" i="4"/>
  <c r="F78" i="4"/>
  <c r="F105" i="4"/>
  <c r="F77" i="4"/>
  <c r="F76" i="4"/>
  <c r="F74" i="4"/>
  <c r="H60" i="6" l="1"/>
  <c r="H84" i="6" s="1"/>
  <c r="F58" i="8"/>
  <c r="F82" i="8" s="1"/>
  <c r="F70" i="8"/>
  <c r="F71" i="8" s="1"/>
  <c r="F75" i="8" s="1"/>
  <c r="G70" i="7"/>
  <c r="F58" i="7"/>
  <c r="F82" i="7" s="1"/>
  <c r="H72" i="6"/>
  <c r="H73" i="6" s="1"/>
  <c r="H76" i="6" s="1"/>
  <c r="F60" i="6"/>
  <c r="F79" i="4"/>
  <c r="G60" i="6"/>
  <c r="F73" i="8"/>
  <c r="G71" i="7"/>
  <c r="G74" i="7" s="1"/>
  <c r="F74" i="8"/>
  <c r="F70" i="7" l="1"/>
  <c r="F72" i="8"/>
  <c r="F76" i="8" s="1"/>
  <c r="F84" i="8" s="1"/>
  <c r="F85" i="8" s="1"/>
  <c r="D28" i="10" s="1"/>
  <c r="F28" i="10" s="1"/>
  <c r="G28" i="10" s="1"/>
  <c r="H75" i="6"/>
  <c r="H77" i="6"/>
  <c r="F84" i="6"/>
  <c r="F72" i="6"/>
  <c r="F73" i="6" s="1"/>
  <c r="F87" i="8"/>
  <c r="F86" i="8"/>
  <c r="G75" i="7"/>
  <c r="G84" i="6"/>
  <c r="G72" i="6"/>
  <c r="G73" i="6" s="1"/>
  <c r="F71" i="7"/>
  <c r="F75" i="7" s="1"/>
  <c r="G73" i="7"/>
  <c r="F107" i="4"/>
  <c r="F95" i="4"/>
  <c r="H74" i="6" l="1"/>
  <c r="H78" i="6" s="1"/>
  <c r="H86" i="6" s="1"/>
  <c r="H87" i="6" s="1"/>
  <c r="F77" i="6"/>
  <c r="F76" i="6"/>
  <c r="F75" i="6"/>
  <c r="H89" i="6"/>
  <c r="D23" i="10"/>
  <c r="F23" i="10" s="1"/>
  <c r="G23" i="10" s="1"/>
  <c r="H88" i="6"/>
  <c r="G77" i="6"/>
  <c r="F73" i="7"/>
  <c r="G75" i="6"/>
  <c r="F96" i="4"/>
  <c r="F100" i="4" s="1"/>
  <c r="G72" i="7"/>
  <c r="G76" i="7" s="1"/>
  <c r="G84" i="7" s="1"/>
  <c r="G85" i="7" s="1"/>
  <c r="F74" i="7"/>
  <c r="G76" i="6"/>
  <c r="F29" i="10"/>
  <c r="G29" i="10"/>
  <c r="F74" i="6" l="1"/>
  <c r="F78" i="6" s="1"/>
  <c r="F86" i="6" s="1"/>
  <c r="F87" i="6" s="1"/>
  <c r="F72" i="7"/>
  <c r="F76" i="7" s="1"/>
  <c r="F84" i="7" s="1"/>
  <c r="F85" i="7" s="1"/>
  <c r="F86" i="7" s="1"/>
  <c r="F98" i="4"/>
  <c r="D26" i="10"/>
  <c r="F26" i="10" s="1"/>
  <c r="G26" i="10" s="1"/>
  <c r="G86" i="7"/>
  <c r="G87" i="7"/>
  <c r="G74" i="6"/>
  <c r="G78" i="6" s="1"/>
  <c r="G86" i="6" s="1"/>
  <c r="G87" i="6" s="1"/>
  <c r="F99" i="4"/>
  <c r="F87" i="7" l="1"/>
  <c r="D25" i="10"/>
  <c r="F25" i="10" s="1"/>
  <c r="G25" i="10" s="1"/>
  <c r="G27" i="10" s="1"/>
  <c r="F89" i="6"/>
  <c r="D21" i="10"/>
  <c r="F21" i="10" s="1"/>
  <c r="G21" i="10" s="1"/>
  <c r="F88" i="6"/>
  <c r="F97" i="4"/>
  <c r="F101" i="4" s="1"/>
  <c r="F109" i="4" s="1"/>
  <c r="F110" i="4" s="1"/>
  <c r="F112" i="4" s="1"/>
  <c r="D22" i="10"/>
  <c r="F22" i="10" s="1"/>
  <c r="G89" i="6"/>
  <c r="G88" i="6"/>
  <c r="F27" i="10" l="1"/>
  <c r="F111" i="4"/>
  <c r="G22" i="10"/>
  <c r="G24" i="10" s="1"/>
  <c r="G30" i="10" s="1"/>
  <c r="G36" i="10" s="1"/>
  <c r="F24" i="10"/>
  <c r="F30" i="10" l="1"/>
  <c r="F36" i="10" s="1"/>
</calcChain>
</file>

<file path=xl/comments1.xml><?xml version="1.0" encoding="utf-8"?>
<comments xmlns="http://schemas.openxmlformats.org/spreadsheetml/2006/main">
  <authors>
    <author/>
  </authors>
  <commentList>
    <comment ref="E5" authorId="0" shapeId="0">
      <text>
        <r>
          <rPr>
            <sz val="10"/>
            <color rgb="FF000000"/>
            <rFont val="Arial"/>
            <charset val="1"/>
          </rPr>
          <t>Mapa Comparativo de Preços – Banco de Preços em 18-6-25</t>
        </r>
      </text>
    </comment>
  </commentList>
</comments>
</file>

<file path=xl/sharedStrings.xml><?xml version="1.0" encoding="utf-8"?>
<sst xmlns="http://schemas.openxmlformats.org/spreadsheetml/2006/main" count="1067" uniqueCount="320">
  <si>
    <t>DATA:</t>
  </si>
  <si>
    <t>XX/XX/20XX</t>
  </si>
  <si>
    <t>CUSTOS REFERENTES AOS SERVIÇOS CONTRATADOS</t>
  </si>
  <si>
    <t>Dados referentes à licitação</t>
  </si>
  <si>
    <t>Nº do Processo (X.XX.XXX.XXXXXX/XXXX-XX)</t>
  </si>
  <si>
    <t>Modalidade de Licitação nº (XX/AAAA)</t>
  </si>
  <si>
    <t>Pregão nº</t>
  </si>
  <si>
    <t>XX/20XX</t>
  </si>
  <si>
    <t>Data / Horário</t>
  </si>
  <si>
    <t>HH:MM</t>
  </si>
  <si>
    <t>Dados referentes à contratação</t>
  </si>
  <si>
    <t>A</t>
  </si>
  <si>
    <t>Data de Apresentação da Proposta (DD/MM/AAAA)</t>
  </si>
  <si>
    <t>B</t>
  </si>
  <si>
    <t>Local de Execução (Sede, Anexo I ou II, PTM, PRM)</t>
  </si>
  <si>
    <t>C</t>
  </si>
  <si>
    <t>Unidade da Federação</t>
  </si>
  <si>
    <t>D</t>
  </si>
  <si>
    <t>Acordo, Conv. ou Sentença Normativa em Dissídio Coletivo (MM/AAAA)</t>
  </si>
  <si>
    <t>E</t>
  </si>
  <si>
    <t>Número de Meses de Execução Contratual</t>
  </si>
  <si>
    <t>Identificação do serviço</t>
  </si>
  <si>
    <t xml:space="preserve">Contínuo </t>
  </si>
  <si>
    <t>Carregador</t>
  </si>
  <si>
    <t>Recepcionista</t>
  </si>
  <si>
    <t>Empregado por posto</t>
  </si>
  <si>
    <t>Item</t>
  </si>
  <si>
    <t>Tipo de Serviço</t>
  </si>
  <si>
    <t>Unidade</t>
  </si>
  <si>
    <t>Qtde de Postos</t>
  </si>
  <si>
    <t>APOIO OPERACIONAL</t>
  </si>
  <si>
    <t>PRGO</t>
  </si>
  <si>
    <t>PRM-ANS</t>
  </si>
  <si>
    <t>PRM-LUZ</t>
  </si>
  <si>
    <t>Qual a base de cálculo do adicional de insalubridade (CCT ou Salário Mínimo)?</t>
  </si>
  <si>
    <t>Salário Mínimo</t>
  </si>
  <si>
    <t>Mão de obra</t>
  </si>
  <si>
    <t>Classificação Brasileira de Ocupações (CBO)</t>
  </si>
  <si>
    <t>4101-05</t>
  </si>
  <si>
    <t>5134-25</t>
  </si>
  <si>
    <t>4221-05</t>
  </si>
  <si>
    <t>Categoria Profissional (vinculada à execução contratual)</t>
  </si>
  <si>
    <t>Data-Base da Categoria (DD/MM/AAAA)</t>
  </si>
  <si>
    <t>01/2025</t>
  </si>
  <si>
    <t>Salário Mínimo vigente no país (em R$)</t>
  </si>
  <si>
    <t>CUSTOS POR EMPREGADO</t>
  </si>
  <si>
    <t>MÓDULO 1: COMPOSIÇÃO DA REMUNERAÇÃO</t>
  </si>
  <si>
    <t>Composição da Remuneração</t>
  </si>
  <si>
    <t>Valor (R$) / %</t>
  </si>
  <si>
    <t>Salário-Base (em R$)</t>
  </si>
  <si>
    <t>Adicional de Periculosidade (em %)</t>
  </si>
  <si>
    <t>Adicional Noturno (em %)</t>
  </si>
  <si>
    <t>Adicional de Insalubridade (em %)</t>
  </si>
  <si>
    <t>Outras Remunerações 1 (Especificar)</t>
  </si>
  <si>
    <t>F</t>
  </si>
  <si>
    <t>Outras Remunerações 2 (Especificar)</t>
  </si>
  <si>
    <t>G</t>
  </si>
  <si>
    <t>Outras Remunerações 3 (Especificar)</t>
  </si>
  <si>
    <t>MÓDULO 2: ENCARGOS E BENEFÍCIOS ANUAIS, MENSAIS E DIÁRIOS</t>
  </si>
  <si>
    <t>Submódulo 2.2 - Encargos Previd. (GPS), FGTS e Outras Contribuições</t>
  </si>
  <si>
    <t>2.2</t>
  </si>
  <si>
    <t>Encargos Previd. (GPS), FGTS e Outras Contribuições</t>
  </si>
  <si>
    <t>Multiplicador</t>
  </si>
  <si>
    <t>FAP</t>
  </si>
  <si>
    <t>Submódulo 2.3 - Benefícios Mensais e Diários</t>
  </si>
  <si>
    <t>2.3</t>
  </si>
  <si>
    <t>Benefícios Mensais e Diários</t>
  </si>
  <si>
    <t>Frequência / Opção</t>
  </si>
  <si>
    <t>Transporte (por dia) 
Goiânia–R$ 4,30, Anápolis–R$ 6,00, Luziânia–R$ 0,00 (Programa Tarifa Zero)</t>
  </si>
  <si>
    <t>Goiânia</t>
  </si>
  <si>
    <t>Anápolis</t>
  </si>
  <si>
    <t>Luziânia</t>
  </si>
  <si>
    <t>Auxílio-Refeição/Alimentação</t>
  </si>
  <si>
    <t>Diária</t>
  </si>
  <si>
    <t>A empresa aderiu ao PAT? Caso positivo, qual o percentual adotado?</t>
  </si>
  <si>
    <t>Não</t>
  </si>
  <si>
    <t>Amparo Familiar</t>
  </si>
  <si>
    <t>Mensal</t>
  </si>
  <si>
    <t>Cota de Aprendizagem</t>
  </si>
  <si>
    <t>Seguro de vida</t>
  </si>
  <si>
    <t>Submódulo 2.4 - Intervalo Intrajornada</t>
  </si>
  <si>
    <t>2.4</t>
  </si>
  <si>
    <t>Intervalo Intrajornada</t>
  </si>
  <si>
    <t>% / Minutos</t>
  </si>
  <si>
    <t>Hora Extra (em %)</t>
  </si>
  <si>
    <t>Tempo de Intervalo para Refeição (em minutos)</t>
  </si>
  <si>
    <t>MÓDULO 4: CUSTO DE REPOSIÇÃO DO PROFISSIONAL AUSENTE</t>
  </si>
  <si>
    <t>Submódulo 4.1 - Substituto nas Ausências Legais</t>
  </si>
  <si>
    <t>4.1</t>
  </si>
  <si>
    <t>Substituto nas Ausências Legais</t>
  </si>
  <si>
    <t>%</t>
  </si>
  <si>
    <t>Outras Ausências (Especificar em %)</t>
  </si>
  <si>
    <t>Submódulo 4.2 - Substituto na Intrajornada</t>
  </si>
  <si>
    <t>4.2</t>
  </si>
  <si>
    <t>Substituto na Intrajornada</t>
  </si>
  <si>
    <t>MÓDULO 5: INSUMOS DIVERSOS</t>
  </si>
  <si>
    <t>Insumos Diversos</t>
  </si>
  <si>
    <t>Valor (R$)</t>
  </si>
  <si>
    <t>Uniformes</t>
  </si>
  <si>
    <t>Materiais</t>
  </si>
  <si>
    <t>Equipamentos</t>
  </si>
  <si>
    <t>EPIs</t>
  </si>
  <si>
    <t>MÓDULO 6: CUSTOS INDIRETOS, TRIBUTOS E LUCRO</t>
  </si>
  <si>
    <t>Custos Indiretos, Tributos e Lucro</t>
  </si>
  <si>
    <t>Custos Indiretos</t>
  </si>
  <si>
    <t>Lucro</t>
  </si>
  <si>
    <t>C.1</t>
  </si>
  <si>
    <t>PIS</t>
  </si>
  <si>
    <t>C.2</t>
  </si>
  <si>
    <t>Cofins</t>
  </si>
  <si>
    <t>C.3</t>
  </si>
  <si>
    <t>ISS</t>
  </si>
  <si>
    <t>OBSERVAÇÃO</t>
  </si>
  <si>
    <t>Para mais informações, consulte o Referencial Técnico de Custos, constante da página da Auditoria Interna do MPU na internet (www.auditoria.mpu.mp.br).</t>
  </si>
  <si>
    <t>DADOS ESTATÍSTICOS</t>
  </si>
  <si>
    <t>Dias / Horas / Minutos</t>
  </si>
  <si>
    <t>Divisor de Horas (em horas)</t>
  </si>
  <si>
    <t>Dias na Semana</t>
  </si>
  <si>
    <t>Dias no Ano</t>
  </si>
  <si>
    <t>I</t>
  </si>
  <si>
    <t>Média Anual de Dias Trabalhados no Mês</t>
  </si>
  <si>
    <t>J</t>
  </si>
  <si>
    <t xml:space="preserve">Meses no Ano </t>
  </si>
  <si>
    <t>K</t>
  </si>
  <si>
    <t>Hora Normal (em minutos)</t>
  </si>
  <si>
    <t>L</t>
  </si>
  <si>
    <t>Hora Noturna (em minutos)</t>
  </si>
  <si>
    <t>Frequência</t>
  </si>
  <si>
    <t>Desconto Remuneração Transporte</t>
  </si>
  <si>
    <t>Dias Trabalhados 12 x 36 horas</t>
  </si>
  <si>
    <t>Dias Trabalhados 44 horas</t>
  </si>
  <si>
    <t>MÓDULO 3: PROVISÃO PARA RESCISÃO</t>
  </si>
  <si>
    <t>Provisão para Rescisão</t>
  </si>
  <si>
    <t>Dias / %</t>
  </si>
  <si>
    <t>Pessoas demitidas sem justa causa / Total de desligamentos (em %)</t>
  </si>
  <si>
    <t>Empregados que recebem aviso prévio indenizado (em %)</t>
  </si>
  <si>
    <t>Multa do FGTS (em %)</t>
  </si>
  <si>
    <t>Empregados que recebem aviso prévio trabalhado (em %)</t>
  </si>
  <si>
    <t>Dias no mês</t>
  </si>
  <si>
    <t>Dias de Ausências Legais</t>
  </si>
  <si>
    <t>Dias de Licença-Paternidade</t>
  </si>
  <si>
    <t>Nascidos Vivos / População Feminina (em %)</t>
  </si>
  <si>
    <t>Participação Masculina (em %)</t>
  </si>
  <si>
    <t>Empregados afastados por acidente de trabalho (em %)</t>
  </si>
  <si>
    <t>Dias pagos pela empresa em acidentes de trabalho</t>
  </si>
  <si>
    <t>Dias de Licença-Maternidade</t>
  </si>
  <si>
    <t>H</t>
  </si>
  <si>
    <t>Participação Feminina (em %)</t>
  </si>
  <si>
    <t>ENCARGOS SOCIAIS E TRABALHISTAS</t>
  </si>
  <si>
    <t>Submódulo 2.1 - 13º (décimo terceiro) Salário e Adicional de Férias</t>
  </si>
  <si>
    <t>2.1</t>
  </si>
  <si>
    <t>13º Salário e Adicional de Férias</t>
  </si>
  <si>
    <t>Memória de Cálculo</t>
  </si>
  <si>
    <t>13º Salário</t>
  </si>
  <si>
    <t>(1/12) x 100</t>
  </si>
  <si>
    <t>Adicional de Férias</t>
  </si>
  <si>
    <t>[(1/3)/12] x 100</t>
  </si>
  <si>
    <t>Submódulo 2.2 - Encargos Previdencários (GPS), Fundo de Garantia por Tempo de Serviço (FGTS) e Outras Contribuições</t>
  </si>
  <si>
    <t>Encargos Previdenciários (GPS), Fundo de Garantia por Tempo de Serviço (FGTS) e outras contribuições</t>
  </si>
  <si>
    <t>INSS</t>
  </si>
  <si>
    <t>Salário Educação</t>
  </si>
  <si>
    <t>RAT x FAP*</t>
  </si>
  <si>
    <t>SESC</t>
  </si>
  <si>
    <t>SENAC</t>
  </si>
  <si>
    <t>SEBRAE</t>
  </si>
  <si>
    <t>INCRA</t>
  </si>
  <si>
    <t>FGTS</t>
  </si>
  <si>
    <t>TOTAL</t>
  </si>
  <si>
    <t>Aviso Prévio Indenizado</t>
  </si>
  <si>
    <t>[(62,93%) x 5,55% x (1/12)] x 100</t>
  </si>
  <si>
    <t>Incidência do FGTS sobre o Aviso Prévio Indenizado</t>
  </si>
  <si>
    <t>0,29% x 8,00% x 100</t>
  </si>
  <si>
    <t>Multa do FGTS sobre o Aviso Prévio Indenizado</t>
  </si>
  <si>
    <t>[(62,93%) x 5,55%x 40%  x 8,00% x 100</t>
  </si>
  <si>
    <t>Aviso Prévio Trabalhado</t>
  </si>
  <si>
    <t>[(62,93%) x 94,45% x (7/30)/12] x 100</t>
  </si>
  <si>
    <t xml:space="preserve">Incidência dos encargos do submódulo 2.2 sobre o Aviso Prévio Trabalhado </t>
  </si>
  <si>
    <t>1,16% x 36,80% x 100</t>
  </si>
  <si>
    <t>Multa do FGTS sobre o Aviso Prévio Trabalhado</t>
  </si>
  <si>
    <t>[(62,93%) x 94,45% x 40%  x 8,00% x 100</t>
  </si>
  <si>
    <t xml:space="preserve">Substituto na Cobertura de Férias </t>
  </si>
  <si>
    <t xml:space="preserve">(1/12) x 100 </t>
  </si>
  <si>
    <t>Substituto na Cobertura de Ausências Legais</t>
  </si>
  <si>
    <t>[(8/30)/12] x 100</t>
  </si>
  <si>
    <t>Substituto na Cobertura de Licença-Paternidade</t>
  </si>
  <si>
    <t>{[(5/30)/12] x 1,416% x 45,22%} x 100</t>
  </si>
  <si>
    <t>Substituto na Cobertura de Ausência por Acidente de Trabalho</t>
  </si>
  <si>
    <t>[(15/30)/12] x 0,44%} x 100</t>
  </si>
  <si>
    <t>Substituto na Cobertura de Afastamento Maternidade</t>
  </si>
  <si>
    <t>{[(120/30)/12] x 1,416% x 54,78% x 36,80%} x 100</t>
  </si>
  <si>
    <t xml:space="preserve">*FAP - Deverá estar previsto na proposta da empresa licitante e comprovada sua incidência posteriormente. </t>
  </si>
  <si>
    <t>CUSTOS REFERENTES AO POSTO</t>
  </si>
  <si>
    <t>Nº do Processo</t>
  </si>
  <si>
    <t>Modalidade de Licitação</t>
  </si>
  <si>
    <t>DISCRIMINAÇÃO DOS SERVIÇOS (DADOS REFERENTES À CONTRATAÇÃO)</t>
  </si>
  <si>
    <t>Quantidade de Postos</t>
  </si>
  <si>
    <t>Tipo de Serviço (mesmo serviço com características distintas)</t>
  </si>
  <si>
    <t>PLANILHA DE CUSTOS E FORMAÇÃO DE PREÇOS</t>
  </si>
  <si>
    <t>EMPREGADOS POR POSTO</t>
  </si>
  <si>
    <t>Salário-Base</t>
  </si>
  <si>
    <t>Adicional de Periculosidade</t>
  </si>
  <si>
    <t>Adicional Noturno</t>
  </si>
  <si>
    <t>Adicional de Hora Noturna Reduzida (em %)</t>
  </si>
  <si>
    <t>Adicional de Insalubridade</t>
  </si>
  <si>
    <t>Transporte</t>
  </si>
  <si>
    <t>Substituto na Cobertura de Intervalo para Repouso e Alimentação</t>
  </si>
  <si>
    <t>Tributos</t>
  </si>
  <si>
    <t>QUADRO RESUMO - CUSTO POR EMPREGADO</t>
  </si>
  <si>
    <t>MÓD.</t>
  </si>
  <si>
    <t>Mão-de-obra vinculada à execução contratual (valor por empregado)</t>
  </si>
  <si>
    <t>Valor    (R$)</t>
  </si>
  <si>
    <t>Encargos e Benefícios Anuais, Mensais e Diários</t>
  </si>
  <si>
    <t>Custo de Reposição do Profissional Ausente</t>
  </si>
  <si>
    <t>VALOR TOTAL DO EMPREGADO</t>
  </si>
  <si>
    <t>VALOR TOTAL POR POSTO</t>
  </si>
  <si>
    <t>VALOR TOTAL DA CATEGORIA</t>
  </si>
  <si>
    <t>Especificação</t>
  </si>
  <si>
    <t>Qtd por funcionário (anual)</t>
  </si>
  <si>
    <t>Custo Unitário (R$)</t>
  </si>
  <si>
    <t>Total (R$)</t>
  </si>
  <si>
    <t>Custo Mensal (R$/mês)</t>
  </si>
  <si>
    <t>Calça comprida cintura de elástico, com bolsos dianteiros e traseiros, em tecido tecido oxford com elastano (Composição: 95% poliéster 5% elastano) ou similar.</t>
  </si>
  <si>
    <t>Camisa manga curta, duas cores, com gola e 1 botão, em tecido oxford com elastano (Composição: 95% poliéster 5% elastano) ou similar. Com aplicação de bordado logotipo da empresa na frente.</t>
  </si>
  <si>
    <t>Sapato, modelo social comum, confortável, cor preta; (par)</t>
  </si>
  <si>
    <t>Meias brancas cano médio, 100% algodão. (par)</t>
  </si>
  <si>
    <t>Calça comprida cintura de elástico, com bolsos dianteiros e traseiros, em tecido oxford com elastano (Composição: 95% poliéster 5% elastano) ou similar.</t>
  </si>
  <si>
    <t>Camisa de malha, tipo gola polo, com mangas curtas. Com aplicação de bordado logotipo da empresa na frente.</t>
  </si>
  <si>
    <t>Jaleco comprido em tecido de algodão, de mangas curtas e bolsos na parte inferior frontal.</t>
  </si>
  <si>
    <t>Calçado em vaqueta ou borracha, na cor preta ou marrom. (par)</t>
  </si>
  <si>
    <t>Meias em algodão. (par)</t>
  </si>
  <si>
    <t>Total
 (R$)</t>
  </si>
  <si>
    <t>Calça social com botão e ziper, com bolsos dianteiros e traseiros, em tecido oxford com elastano (Composição: 95% poliéster 5% elastano).</t>
  </si>
  <si>
    <t>Camisa social manga curta, com bolso, em tecido tricoline misto (Composição: 67% algodão - 33% poliéster) ou similar, na cor branca. Com aplicação de bordado logotipo da empresa na frente.</t>
  </si>
  <si>
    <t>Blazer acinturado, gola tradicional, dois bolsos embutidos na parte inferior e fechamento frontal em botões, em tecido 100% poliester, na cor preta. Com aplicação de bordado logotipo da empresa na frente</t>
  </si>
  <si>
    <t>Calçado social, confortável bico redondo, salto médio, confeccionado em couro ou material sintético similar, com forração interna, na cor preta. (par)</t>
  </si>
  <si>
    <t>Meia social fina, cano curto, confeccionada em poliéster/elastano, na cor preta. (par)</t>
  </si>
  <si>
    <t>Contínuo</t>
  </si>
  <si>
    <t>PROCURADORIA DA REPÚBLICA EM GOIÁS</t>
  </si>
  <si>
    <t>PROCURADORIA DA REPÚBLICA EM ANÁPOLIS</t>
  </si>
  <si>
    <t>PROCURADORIA DA REPÚBLICA EM LUZIÂNIA</t>
  </si>
  <si>
    <t>CUSTO MENSAL DE EQUIPAMENTO – CARREGADOR</t>
  </si>
  <si>
    <t>TABELA 7 – EQUIPAMENTOS PARA MANUTENÇÃO ELÉTRICA (por posto de Eletricista)</t>
  </si>
  <si>
    <t>ITEM</t>
  </si>
  <si>
    <t>DESCRIÇÃO</t>
  </si>
  <si>
    <t>UN.</t>
  </si>
  <si>
    <t>QTDE</t>
  </si>
  <si>
    <t>VALOR MÉDIO ESTIMADO</t>
  </si>
  <si>
    <t>PERIODICIDADE DE FORNECIMENTO [MESES]</t>
  </si>
  <si>
    <t>CONSUMO MÉDIO MENSAL</t>
  </si>
  <si>
    <t>VIDA ÚTIL [MESES]</t>
  </si>
  <si>
    <t>% RESIDUAL</t>
  </si>
  <si>
    <t>TOTAL MENSAL/NÚMERO DE POSTOS (2 CARREGADORES)</t>
  </si>
  <si>
    <t>EQUIPAMENTOS DE PROTEÇÃO INDIVIDUAL (EPI) – CARREGADORES</t>
  </si>
  <si>
    <t>QTD.</t>
  </si>
  <si>
    <t>PERIODICIDADE</t>
  </si>
  <si>
    <t>VALOR UNIT.</t>
  </si>
  <si>
    <t>12 meses</t>
  </si>
  <si>
    <t>Colete de proteção da coluna lombar com suspensório e tala costal flexível, cor preta, tamanho adequado a cada profissional</t>
  </si>
  <si>
    <t>TOTAL MENSAL por cada POSTO (TOTAL / 12(meses)/Nº POSTOS)</t>
  </si>
  <si>
    <t xml:space="preserve"> SERVIÇOS DE APOIO ADMINISTRATIVO</t>
  </si>
  <si>
    <t xml:space="preserve"> MODELO DE PROPOSTA DE PREÇO</t>
  </si>
  <si>
    <t>Sr. LICITANTE Preencher somente campos em "amarelo"</t>
  </si>
  <si>
    <t>Do Licitante:</t>
  </si>
  <si>
    <t>Razão Social:</t>
  </si>
  <si>
    <t>CNPJ:</t>
  </si>
  <si>
    <t>Endereço:</t>
  </si>
  <si>
    <t>Representante:</t>
  </si>
  <si>
    <t>Telefone convencional/ celular:</t>
  </si>
  <si>
    <t>Site:</t>
  </si>
  <si>
    <t>E-mail:</t>
  </si>
  <si>
    <t>Dos Valores da Proposta:</t>
  </si>
  <si>
    <t>1. MÃO DE OBRA RESIDENTE (44h – diurno)</t>
  </si>
  <si>
    <t>Nota 1: A mão de obra residente compreende os profissionais contratados como mensalistas, com postos fixos de trabalho nas sedes do MPF/GO, necessariamente pertencentes ao quadro de pessoal da CONTRATADA.
Nota 2: No Modelo de Planilhas de Formação de Preços, anexo do Edital, a empresa apresentará de forma detalhada os itens que compõem o "Valor Mensal" para cada posto; 
Nota 3: Na proposta, deverá ser mantida a quantidade de postos descrita na tabela abaixo.</t>
  </si>
  <si>
    <t>Localidades</t>
  </si>
  <si>
    <t>Categoria Profissional</t>
  </si>
  <si>
    <t>Preço Unitário Máximo (Por Profissional)</t>
  </si>
  <si>
    <t>Quantidade</t>
  </si>
  <si>
    <t xml:space="preserve">Valor Mensal </t>
  </si>
  <si>
    <t>Valor Anual</t>
  </si>
  <si>
    <t>1.1</t>
  </si>
  <si>
    <t>GOIANIA</t>
  </si>
  <si>
    <t>CONTÍNUO (44h)</t>
  </si>
  <si>
    <t>1.2</t>
  </si>
  <si>
    <t>CARREGADOR (44h)</t>
  </si>
  <si>
    <t>1.3</t>
  </si>
  <si>
    <t>RECEPCIONISTA (44h)</t>
  </si>
  <si>
    <t xml:space="preserve">SUBTOTAL: </t>
  </si>
  <si>
    <t>1.4</t>
  </si>
  <si>
    <t>ANÁPOLIS</t>
  </si>
  <si>
    <t>1.5</t>
  </si>
  <si>
    <t>1.6</t>
  </si>
  <si>
    <t>LUZIANIA</t>
  </si>
  <si>
    <t xml:space="preserve">VALOR TOTAL PROFISSIONAIS RESIDENTES: </t>
  </si>
  <si>
    <t>2. MATERIAIS SOB DEMANDA</t>
  </si>
  <si>
    <t>Estimativa Anual</t>
  </si>
  <si>
    <t>BDI (passível de alteração, ver Nota 2)</t>
  </si>
  <si>
    <t>Valor Anual Estimado</t>
  </si>
  <si>
    <t>Valor Mensal Estimado</t>
  </si>
  <si>
    <t>Valor Mensal Total estimado</t>
  </si>
  <si>
    <t>Valor Total Anual estimado</t>
  </si>
  <si>
    <r>
      <t>Nota 1: Engloba aquisição de materiais sob demanda – (Anexo E do TR)
Nota 2:  Na  proposta,  não  serão  permitidas  alterações  no  valor  de  "Estimativa  Anual".  Para  o  referido  item,  a  licitante  poderá  alterar  os 
valores  do  "BDI  MATERIAIS ",  desde  que  respeitado  o  "VALOR  MÁXIMO ACEITÁVEL POR SUBITEM". 
Nota 3:</t>
    </r>
    <r>
      <rPr>
        <sz val="8"/>
        <rFont val="Segoe UI"/>
        <family val="2"/>
        <charset val="1"/>
      </rPr>
      <t xml:space="preserve"> </t>
    </r>
    <r>
      <rPr>
        <sz val="8"/>
        <color rgb="FF000000"/>
        <rFont val="Segoe UI Light"/>
        <family val="2"/>
        <charset val="1"/>
      </rPr>
      <t xml:space="preserve">O valor de BDI a ser utilizado para itens de mero fornecimento </t>
    </r>
    <r>
      <rPr>
        <sz val="8"/>
        <rFont val="Segoe UI Light"/>
        <family val="2"/>
        <charset val="1"/>
      </rPr>
      <t>(</t>
    </r>
    <r>
      <rPr>
        <sz val="8"/>
        <color rgb="FF000000"/>
        <rFont val="Segoe UI Light"/>
        <family val="2"/>
        <charset val="1"/>
      </rPr>
      <t xml:space="preserve">materiais e equipamentos) é de 14,02% de acordo com </t>
    </r>
    <r>
      <rPr>
        <b/>
        <sz val="8"/>
        <color rgb="FF000000"/>
        <rFont val="Segoe UI Light"/>
        <family val="2"/>
        <charset val="1"/>
      </rPr>
      <t xml:space="preserve">Acórdão 2622/2013 do TCU item 9.1.
</t>
    </r>
    <r>
      <rPr>
        <sz val="8"/>
        <rFont val="Segoe UI Light"/>
        <family val="2"/>
        <charset val="1"/>
      </rPr>
      <t xml:space="preserve">Nota 4: Os percentuais propostos para o BDI MATERIAIS, aplicar-se-ão a todos itens de ressarcimento de materiais.
Nota 5:  O processo de pagamento à Contratada ocorrerá conforme item 3.10. do Termo de Referência: sobre o valor definido como o Preço de 
Mercado (PM), será aplicada a taxa de BDI MATERIAIS (a depender da natureza da demanda) , obtendo-se assim o preço final, a ser pago mediante a 
Emissão de Nota Fiscal. </t>
    </r>
  </si>
  <si>
    <r>
      <t>VALOR RESIDUAL [UNITÁRIO]</t>
    </r>
    <r>
      <rPr>
        <sz val="8"/>
        <color rgb="FF000000"/>
        <rFont val="Segoe UI Light"/>
        <family val="2"/>
      </rPr>
      <t xml:space="preserve">
(valor médio estimado x % residual)</t>
    </r>
  </si>
  <si>
    <r>
      <t>VALOR DEPREC/AMORT.</t>
    </r>
    <r>
      <rPr>
        <sz val="8"/>
        <color rgb="FF000000"/>
        <rFont val="Segoe UI Light"/>
        <family val="2"/>
      </rPr>
      <t xml:space="preserve">
(valor médio estimado - valor resid. /Vida útil)</t>
    </r>
  </si>
  <si>
    <r>
      <t xml:space="preserve">VALOR </t>
    </r>
    <r>
      <rPr>
        <b/>
        <sz val="10"/>
        <color rgb="FF000000"/>
        <rFont val="Segoe UI Light"/>
        <family val="2"/>
      </rPr>
      <t>TOTAL</t>
    </r>
  </si>
  <si>
    <t xml:space="preserve">CONTINUO </t>
  </si>
  <si>
    <t xml:space="preserve">CARREGADOR </t>
  </si>
  <si>
    <t xml:space="preserve">RECEPCIONISTA </t>
  </si>
  <si>
    <t>Luvas de segurança para proteção das mãos contra agentes cortantes e perfurantes (par)</t>
  </si>
  <si>
    <t>Capacete de segurança com carneira</t>
  </si>
  <si>
    <t>Óculos de proteção EPI</t>
  </si>
  <si>
    <t>Carrinho para transporte de carga – 200 kg</t>
  </si>
  <si>
    <t>RAMO: MINISTÉRIO PÚBLICO FEDERAL</t>
  </si>
  <si>
    <t>UNIDADE GESTORA (SIGLA): PRGO - PROCURADORIA DA REPÚBLICA EM GOIÁS</t>
  </si>
  <si>
    <t>90006/2025</t>
  </si>
  <si>
    <t>1.18.000.001751/2024-39</t>
  </si>
  <si>
    <t>GO</t>
  </si>
  <si>
    <t>PR-GO, PRM-ANS E PRM-LUZ</t>
  </si>
  <si>
    <t>Auxílio-Refeição/Alimentação (CCT – Clausula 13a – Desc 11%)</t>
  </si>
  <si>
    <r>
      <t xml:space="preserve">Da Proposta:
</t>
    </r>
    <r>
      <rPr>
        <sz val="10"/>
        <color rgb="FF000000"/>
        <rFont val="Arial"/>
        <charset val="1"/>
      </rPr>
      <t xml:space="preserve"> Declaro que:
1.1 A proposta vincula-se a todas as condições estabelecidas no Edital de Pregão e no Termo de Referência e seus anexos.
1.2 Os valores contidos na proposta contemplam todos os custos e despesas, tais como: custos diretos e indiretos, tributos incidentes, materiais, serviços, encargos sociais, trabalhistas, seguros, lucro e outros necessários ao cumprimento integral do objeto do Pregão Eletrônico PR/GO nº 90006/2025.
Validade da proposta: __ dias (mínimo 60 DIAS).</t>
    </r>
  </si>
  <si>
    <t>À
Procuradoria da República em Goiás
Ref.: Pregão Eletrônico nº 90006/2025
Nos termos do Edital apresentamos nossa proposta para prestação de serviços continuados de apoio administrativo (CONTÍNUO, CARREGADOR E RECEPCIONISTA), com dedicação exclusiva de mão de obra e fornecimento de uniformes, EPIs e Equipamento, necessários à prestação dos serviços a serem executados nas dependências da Procuradoria da República em Goiás, em Goiânia, e nas demais Procuradorias da República do MPF/GO, situadas nos municípios de Anápolis e Luziânia (PRMs).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</si>
</sst>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d/m/yyyy"/>
    <numFmt numFmtId="165" formatCode="#,##0.00_);\(#,##0.00\)"/>
    <numFmt numFmtId="166" formatCode="#,##0_);\(#,##0\)"/>
    <numFmt numFmtId="167" formatCode="[$R$-416]\ #,##0.00;[Red]\-[$R$-416]\ #,##0.00"/>
    <numFmt numFmtId="168" formatCode="#,##0.0000;\-#,##0.0000"/>
    <numFmt numFmtId="169" formatCode="#,##0.0"/>
    <numFmt numFmtId="170" formatCode="#,##0.00_ ;\-#,##0.00\ "/>
    <numFmt numFmtId="171" formatCode="0.000000"/>
    <numFmt numFmtId="172" formatCode="[$R$ -416]#,##0.00"/>
  </numFmts>
  <fonts count="41" x14ac:knownFonts="1">
    <font>
      <sz val="10"/>
      <color rgb="FF000000"/>
      <name val="Arial"/>
      <charset val="1"/>
    </font>
    <font>
      <sz val="10"/>
      <color rgb="FF000000"/>
      <name val="Segoe UI Light"/>
      <family val="2"/>
      <charset val="1"/>
    </font>
    <font>
      <sz val="11"/>
      <color rgb="FF000000"/>
      <name val="Segoe UI Light"/>
      <family val="2"/>
      <charset val="1"/>
    </font>
    <font>
      <sz val="14"/>
      <color rgb="FF000000"/>
      <name val="Segoe UI Light"/>
      <family val="2"/>
      <charset val="1"/>
    </font>
    <font>
      <sz val="8"/>
      <color rgb="FF000000"/>
      <name val="Segoe UI Light"/>
      <family val="2"/>
      <charset val="1"/>
    </font>
    <font>
      <b/>
      <sz val="16"/>
      <color rgb="FF632423"/>
      <name val="Segoe UI Light"/>
      <family val="2"/>
      <charset val="1"/>
    </font>
    <font>
      <b/>
      <sz val="11"/>
      <color rgb="FFFFFFFF"/>
      <name val="Segoe UI Light"/>
      <family val="2"/>
      <charset val="1"/>
    </font>
    <font>
      <b/>
      <sz val="11"/>
      <color rgb="FF000000"/>
      <name val="Segoe UI Light"/>
      <family val="2"/>
      <charset val="1"/>
    </font>
    <font>
      <b/>
      <sz val="14"/>
      <color rgb="FFFFFFFF"/>
      <name val="Segoe UI Light"/>
      <family val="2"/>
      <charset val="1"/>
    </font>
    <font>
      <b/>
      <sz val="10"/>
      <color rgb="FF000000"/>
      <name val="Segoe UI Light"/>
      <family val="2"/>
      <charset val="1"/>
    </font>
    <font>
      <b/>
      <sz val="12"/>
      <color rgb="FF000000"/>
      <name val="Segoe UI Light"/>
      <family val="2"/>
      <charset val="1"/>
    </font>
    <font>
      <b/>
      <sz val="11"/>
      <color rgb="FFCE181E"/>
      <name val="Segoe UI Light"/>
      <family val="2"/>
      <charset val="1"/>
    </font>
    <font>
      <sz val="11"/>
      <name val="Segoe UI Light"/>
      <family val="2"/>
      <charset val="1"/>
    </font>
    <font>
      <sz val="10"/>
      <name val="Segoe UI Light"/>
      <family val="2"/>
      <charset val="1"/>
    </font>
    <font>
      <b/>
      <sz val="11"/>
      <color rgb="FF632423"/>
      <name val="Segoe UI Light"/>
      <family val="2"/>
      <charset val="1"/>
    </font>
    <font>
      <sz val="11"/>
      <color rgb="FFFF0000"/>
      <name val="Segoe UI Light"/>
      <family val="2"/>
      <charset val="1"/>
    </font>
    <font>
      <i/>
      <sz val="10"/>
      <color rgb="FFFFFFFF"/>
      <name val="Segoe UI Light"/>
      <family val="2"/>
      <charset val="1"/>
    </font>
    <font>
      <b/>
      <sz val="14"/>
      <color rgb="FF953734"/>
      <name val="Segoe UI Light"/>
      <family val="2"/>
      <charset val="1"/>
    </font>
    <font>
      <sz val="11"/>
      <color rgb="FF953734"/>
      <name val="Segoe UI Light"/>
      <family val="2"/>
      <charset val="1"/>
    </font>
    <font>
      <b/>
      <sz val="12"/>
      <color rgb="FF632423"/>
      <name val="Segoe UI Light"/>
      <family val="2"/>
      <charset val="1"/>
    </font>
    <font>
      <b/>
      <sz val="20"/>
      <color rgb="FF953734"/>
      <name val="Segoe UI Light"/>
      <family val="2"/>
      <charset val="1"/>
    </font>
    <font>
      <b/>
      <sz val="16"/>
      <color rgb="FF000000"/>
      <name val="Segoe UI Light"/>
      <family val="2"/>
      <charset val="1"/>
    </font>
    <font>
      <i/>
      <sz val="10"/>
      <color rgb="FF000000"/>
      <name val="Segoe UI Light"/>
      <family val="2"/>
      <charset val="1"/>
    </font>
    <font>
      <b/>
      <sz val="14"/>
      <color rgb="FF632423"/>
      <name val="Segoe UI Light"/>
      <family val="2"/>
      <charset val="1"/>
    </font>
    <font>
      <sz val="11"/>
      <color rgb="FFFFFFFF"/>
      <name val="Segoe UI Light"/>
      <family val="2"/>
      <charset val="1"/>
    </font>
    <font>
      <b/>
      <sz val="10"/>
      <name val="Segoe UI Light"/>
      <family val="2"/>
      <charset val="1"/>
    </font>
    <font>
      <b/>
      <sz val="10"/>
      <color rgb="FF000000"/>
      <name val="Arial"/>
      <charset val="1"/>
    </font>
    <font>
      <sz val="8"/>
      <name val="Segoe UI Light"/>
      <family val="2"/>
      <charset val="1"/>
    </font>
    <font>
      <sz val="8"/>
      <name val="Segoe UI"/>
      <family val="2"/>
      <charset val="1"/>
    </font>
    <font>
      <b/>
      <sz val="8"/>
      <color rgb="FF000000"/>
      <name val="Segoe UI Light"/>
      <family val="2"/>
      <charset val="1"/>
    </font>
    <font>
      <sz val="10"/>
      <name val="Segoe UI Light"/>
      <family val="2"/>
    </font>
    <font>
      <b/>
      <sz val="12"/>
      <name val="Segoe UI Light"/>
      <family val="2"/>
    </font>
    <font>
      <b/>
      <sz val="14"/>
      <name val="Segoe UI Light"/>
      <family val="2"/>
    </font>
    <font>
      <sz val="10"/>
      <color rgb="FF000000"/>
      <name val="Segoe UI Light"/>
      <family val="2"/>
    </font>
    <font>
      <sz val="9"/>
      <color rgb="FF000000"/>
      <name val="Segoe UI Light"/>
      <family val="2"/>
    </font>
    <font>
      <sz val="8"/>
      <color rgb="FF000000"/>
      <name val="Segoe UI Light"/>
      <family val="2"/>
    </font>
    <font>
      <b/>
      <sz val="11"/>
      <color rgb="FF000000"/>
      <name val="Segoe UI Light"/>
      <family val="2"/>
    </font>
    <font>
      <b/>
      <sz val="10"/>
      <color rgb="FF000000"/>
      <name val="Segoe UI Light"/>
      <family val="2"/>
    </font>
    <font>
      <b/>
      <sz val="20"/>
      <name val="Segoe UI Light"/>
      <family val="2"/>
      <charset val="1"/>
    </font>
    <font>
      <b/>
      <sz val="14"/>
      <color theme="4"/>
      <name val="Segoe UI Light"/>
      <family val="2"/>
      <charset val="1"/>
    </font>
    <font>
      <b/>
      <sz val="14"/>
      <color rgb="FF000000"/>
      <name val="Segoe UI Light"/>
      <family val="2"/>
    </font>
  </fonts>
  <fills count="30">
    <fill>
      <patternFill patternType="none"/>
    </fill>
    <fill>
      <patternFill patternType="gray125"/>
    </fill>
    <fill>
      <patternFill patternType="solid">
        <fgColor rgb="FFFFFFFF"/>
        <bgColor rgb="FFF2F2F2"/>
      </patternFill>
    </fill>
    <fill>
      <patternFill patternType="solid">
        <fgColor rgb="FFF79646"/>
        <bgColor rgb="FFFFB66C"/>
      </patternFill>
    </fill>
    <fill>
      <patternFill patternType="solid">
        <fgColor rgb="FFFDE9D9"/>
        <bgColor rgb="FFEFEFEF"/>
      </patternFill>
    </fill>
    <fill>
      <patternFill patternType="solid">
        <fgColor rgb="FFD55816"/>
        <bgColor rgb="FFEA7500"/>
      </patternFill>
    </fill>
    <fill>
      <patternFill patternType="solid">
        <fgColor rgb="FFFBD4B4"/>
        <bgColor rgb="FFFFE599"/>
      </patternFill>
    </fill>
    <fill>
      <patternFill patternType="solid">
        <fgColor rgb="FFEA7500"/>
        <bgColor rgb="FFFF8000"/>
      </patternFill>
    </fill>
    <fill>
      <patternFill patternType="solid">
        <fgColor rgb="FFFFB66C"/>
        <bgColor rgb="FFF7A19A"/>
      </patternFill>
    </fill>
    <fill>
      <patternFill patternType="solid">
        <fgColor rgb="FF77BC65"/>
        <bgColor rgb="FF729FCF"/>
      </patternFill>
    </fill>
    <fill>
      <patternFill patternType="solid">
        <fgColor rgb="FF729FCF"/>
        <bgColor rgb="FFB2B2B2"/>
      </patternFill>
    </fill>
    <fill>
      <patternFill patternType="solid">
        <fgColor rgb="FFFFE599"/>
        <bgColor rgb="FFFBD4B4"/>
      </patternFill>
    </fill>
    <fill>
      <patternFill patternType="solid">
        <fgColor rgb="FFCCCCCC"/>
        <bgColor rgb="FFC0C0C0"/>
      </patternFill>
    </fill>
    <fill>
      <patternFill patternType="solid">
        <fgColor rgb="FFFFFFD7"/>
        <bgColor rgb="FFFFFFFF"/>
      </patternFill>
    </fill>
    <fill>
      <patternFill patternType="solid">
        <fgColor rgb="FFFFBF00"/>
        <bgColor rgb="FFFFB66C"/>
      </patternFill>
    </fill>
    <fill>
      <patternFill patternType="solid">
        <fgColor rgb="FFDDDDDD"/>
        <bgColor rgb="FFD9D9D9"/>
      </patternFill>
    </fill>
    <fill>
      <patternFill patternType="solid">
        <fgColor rgb="FFE0EFD4"/>
        <bgColor rgb="FFEFEFEF"/>
      </patternFill>
    </fill>
    <fill>
      <patternFill patternType="solid">
        <fgColor rgb="FFF7A19A"/>
        <bgColor rgb="FFFFB66C"/>
      </patternFill>
    </fill>
    <fill>
      <patternFill patternType="solid">
        <fgColor rgb="FFD9D9D9"/>
        <bgColor rgb="FFD8D8D8"/>
      </patternFill>
    </fill>
    <fill>
      <patternFill patternType="solid">
        <fgColor rgb="FFEFEFEF"/>
        <bgColor rgb="FFF2F2F2"/>
      </patternFill>
    </fill>
    <fill>
      <patternFill patternType="solid">
        <fgColor rgb="FFE8F2A1"/>
        <bgColor rgb="FFFFE599"/>
      </patternFill>
    </fill>
    <fill>
      <patternFill patternType="solid">
        <fgColor rgb="FFC0C0C0"/>
        <bgColor rgb="FFCCCCCC"/>
      </patternFill>
    </fill>
    <fill>
      <patternFill patternType="solid">
        <fgColor rgb="FFB4C7DC"/>
        <bgColor rgb="FFC0C0C0"/>
      </patternFill>
    </fill>
    <fill>
      <patternFill patternType="solid">
        <fgColor rgb="FFFF8000"/>
        <bgColor rgb="FFEA7500"/>
      </patternFill>
    </fill>
    <fill>
      <patternFill patternType="solid">
        <fgColor theme="0"/>
        <bgColor rgb="FFEA75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2F2F2"/>
      </patternFill>
    </fill>
    <fill>
      <patternFill patternType="solid">
        <fgColor theme="4" tint="0.79998168889431442"/>
        <bgColor rgb="FFFFB66C"/>
      </patternFill>
    </fill>
    <fill>
      <patternFill patternType="solid">
        <fgColor theme="4" tint="0.79998168889431442"/>
        <bgColor rgb="FFEFEFEF"/>
      </patternFill>
    </fill>
    <fill>
      <patternFill patternType="solid">
        <fgColor theme="4" tint="0.79998168889431442"/>
        <bgColor rgb="FFF2F2F2"/>
      </patternFill>
    </fill>
  </fills>
  <borders count="29">
    <border>
      <left/>
      <right/>
      <top/>
      <bottom/>
      <diagonal/>
    </border>
    <border>
      <left style="thin">
        <color rgb="FFF2F2F2"/>
      </left>
      <right style="thin">
        <color rgb="FFF2F2F2"/>
      </right>
      <top style="thin">
        <color rgb="FFF2F2F2"/>
      </top>
      <bottom style="thin">
        <color rgb="FFF2F2F2"/>
      </bottom>
      <diagonal/>
    </border>
    <border>
      <left style="thin">
        <color rgb="FFF2F2F2"/>
      </left>
      <right/>
      <top style="thin">
        <color rgb="FFF2F2F2"/>
      </top>
      <bottom style="thin">
        <color rgb="FFF2F2F2"/>
      </bottom>
      <diagonal/>
    </border>
    <border>
      <left style="thin">
        <color rgb="FFF2F2F2"/>
      </left>
      <right style="thin">
        <color rgb="FFF2F2F2"/>
      </right>
      <top/>
      <bottom style="thin">
        <color rgb="FFF2F2F2"/>
      </bottom>
      <diagonal/>
    </border>
    <border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>
      <left/>
      <right/>
      <top style="thin">
        <color rgb="FFF2F2F2"/>
      </top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2F2F2"/>
      </top>
      <bottom style="thin">
        <color rgb="FFF2F2F2"/>
      </bottom>
      <diagonal/>
    </border>
    <border>
      <left style="thin">
        <color rgb="FFF2F2F2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rgb="FFF2F2F2"/>
      </right>
      <top style="thin">
        <color rgb="FFF2F2F2"/>
      </top>
      <bottom style="thin">
        <color rgb="FFF2F2F2"/>
      </bottom>
      <diagonal/>
    </border>
    <border>
      <left style="thin">
        <color rgb="FFD8D8D8"/>
      </left>
      <right style="thin">
        <color rgb="FFD8D8D8"/>
      </right>
      <top style="thin">
        <color rgb="FFD8D8D8"/>
      </top>
      <bottom style="thin">
        <color rgb="FFD8D8D8"/>
      </bottom>
      <diagonal/>
    </border>
    <border>
      <left/>
      <right/>
      <top/>
      <bottom style="thin">
        <color rgb="FFF2F2F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F2F2F2"/>
      </left>
      <right style="thin">
        <color rgb="FFF2F2F2"/>
      </right>
      <top style="thin">
        <color rgb="FFF2F2F2"/>
      </top>
      <bottom/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2F2F2"/>
      </right>
      <top style="thin">
        <color rgb="FFFFFFFF"/>
      </top>
      <bottom style="thin">
        <color rgb="FFFFFFFF"/>
      </bottom>
      <diagonal/>
    </border>
    <border>
      <left style="thin">
        <color rgb="FFF2F2F2"/>
      </left>
      <right style="thin">
        <color rgb="FFF2F2F2"/>
      </right>
      <top style="thin">
        <color rgb="FFFFFFFF"/>
      </top>
      <bottom style="thin">
        <color rgb="FFFFFFFF"/>
      </bottom>
      <diagonal/>
    </border>
    <border>
      <left style="thin">
        <color rgb="FFF2F2F2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/>
      <right style="thin">
        <color auto="1"/>
      </right>
      <top/>
      <bottom style="thin">
        <color rgb="FFFFFFFF"/>
      </bottom>
      <diagonal/>
    </border>
    <border>
      <left style="thin">
        <color auto="1"/>
      </left>
      <right style="thin">
        <color rgb="FFFFFFFF"/>
      </right>
      <top/>
      <bottom style="thin">
        <color rgb="FFFFFFFF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rgb="FFF2F2F2"/>
      </right>
      <top style="thin">
        <color rgb="FFF2F2F2"/>
      </top>
      <bottom/>
      <diagonal/>
    </border>
  </borders>
  <cellStyleXfs count="1">
    <xf numFmtId="0" fontId="0" fillId="0" borderId="0"/>
  </cellStyleXfs>
  <cellXfs count="349">
    <xf numFmtId="0" fontId="0" fillId="0" borderId="0" xfId="0"/>
    <xf numFmtId="0" fontId="1" fillId="0" borderId="0" xfId="0" applyFont="1" applyAlignment="1" applyProtection="1"/>
    <xf numFmtId="0" fontId="2" fillId="2" borderId="0" xfId="0" applyFont="1" applyFill="1" applyBorder="1" applyAlignment="1" applyProtection="1"/>
    <xf numFmtId="0" fontId="4" fillId="2" borderId="0" xfId="0" applyFont="1" applyFill="1" applyBorder="1" applyAlignment="1" applyProtection="1"/>
    <xf numFmtId="0" fontId="6" fillId="5" borderId="1" xfId="0" applyFont="1" applyFill="1" applyBorder="1" applyAlignment="1" applyProtection="1">
      <alignment horizontal="center"/>
    </xf>
    <xf numFmtId="0" fontId="6" fillId="5" borderId="1" xfId="0" applyFont="1" applyFill="1" applyBorder="1" applyAlignment="1" applyProtection="1">
      <alignment horizontal="center" vertical="center"/>
    </xf>
    <xf numFmtId="0" fontId="2" fillId="4" borderId="1" xfId="0" applyFont="1" applyFill="1" applyBorder="1" applyAlignment="1" applyProtection="1">
      <alignment horizontal="left" vertical="center" wrapText="1"/>
    </xf>
    <xf numFmtId="0" fontId="2" fillId="3" borderId="1" xfId="0" applyFont="1" applyFill="1" applyBorder="1" applyAlignment="1" applyProtection="1">
      <alignment horizontal="center" vertical="center"/>
      <protection locked="0"/>
    </xf>
    <xf numFmtId="0" fontId="2" fillId="6" borderId="1" xfId="0" applyFont="1" applyFill="1" applyBorder="1" applyAlignment="1" applyProtection="1">
      <alignment horizontal="center"/>
    </xf>
    <xf numFmtId="0" fontId="7" fillId="8" borderId="2" xfId="0" applyFont="1" applyFill="1" applyBorder="1" applyAlignment="1" applyProtection="1">
      <alignment horizontal="center" vertical="center"/>
    </xf>
    <xf numFmtId="165" fontId="10" fillId="9" borderId="4" xfId="0" applyNumberFormat="1" applyFont="1" applyFill="1" applyBorder="1" applyAlignment="1" applyProtection="1">
      <alignment horizontal="center" vertical="center"/>
    </xf>
    <xf numFmtId="165" fontId="10" fillId="10" borderId="4" xfId="0" applyNumberFormat="1" applyFont="1" applyFill="1" applyBorder="1" applyAlignment="1" applyProtection="1">
      <alignment horizontal="center" vertical="center"/>
    </xf>
    <xf numFmtId="0" fontId="6" fillId="3" borderId="2" xfId="0" applyFont="1" applyFill="1" applyBorder="1" applyAlignment="1" applyProtection="1">
      <alignment horizontal="center" vertical="center" wrapText="1"/>
    </xf>
    <xf numFmtId="166" fontId="2" fillId="8" borderId="4" xfId="0" applyNumberFormat="1" applyFont="1" applyFill="1" applyBorder="1" applyAlignment="1" applyProtection="1">
      <alignment horizontal="center" vertical="center"/>
    </xf>
    <xf numFmtId="166" fontId="2" fillId="9" borderId="4" xfId="0" applyNumberFormat="1" applyFont="1" applyFill="1" applyBorder="1" applyAlignment="1" applyProtection="1">
      <alignment horizontal="center" vertical="center"/>
    </xf>
    <xf numFmtId="166" fontId="2" fillId="10" borderId="4" xfId="0" applyNumberFormat="1" applyFont="1" applyFill="1" applyBorder="1" applyAlignment="1" applyProtection="1">
      <alignment horizontal="center" vertical="center"/>
    </xf>
    <xf numFmtId="0" fontId="4" fillId="2" borderId="0" xfId="0" applyFont="1" applyFill="1" applyBorder="1" applyAlignment="1" applyProtection="1">
      <alignment horizontal="center" vertical="center"/>
    </xf>
    <xf numFmtId="0" fontId="11" fillId="7" borderId="3" xfId="0" applyFont="1" applyFill="1" applyBorder="1" applyAlignment="1" applyProtection="1">
      <alignment horizontal="center" vertical="center"/>
    </xf>
    <xf numFmtId="0" fontId="6" fillId="5" borderId="2" xfId="0" applyFont="1" applyFill="1" applyBorder="1" applyAlignment="1" applyProtection="1">
      <alignment horizontal="center" vertical="center" wrapText="1"/>
    </xf>
    <xf numFmtId="0" fontId="2" fillId="5" borderId="2" xfId="0" applyFont="1" applyFill="1" applyBorder="1" applyAlignment="1" applyProtection="1">
      <alignment horizontal="center" vertical="center" wrapText="1"/>
    </xf>
    <xf numFmtId="0" fontId="2" fillId="3" borderId="2" xfId="0" applyFont="1" applyFill="1" applyBorder="1" applyAlignment="1" applyProtection="1">
      <alignment horizontal="center" vertical="center" wrapText="1"/>
      <protection locked="0"/>
    </xf>
    <xf numFmtId="0" fontId="2" fillId="8" borderId="2" xfId="0" applyFont="1" applyFill="1" applyBorder="1" applyAlignment="1" applyProtection="1">
      <alignment horizontal="center" vertical="center" wrapText="1"/>
      <protection locked="0"/>
    </xf>
    <xf numFmtId="0" fontId="2" fillId="9" borderId="2" xfId="0" applyFont="1" applyFill="1" applyBorder="1" applyAlignment="1" applyProtection="1">
      <alignment horizontal="center" vertical="center" wrapText="1"/>
      <protection locked="0"/>
    </xf>
    <xf numFmtId="0" fontId="2" fillId="10" borderId="2" xfId="0" applyFont="1" applyFill="1" applyBorder="1" applyAlignment="1" applyProtection="1">
      <alignment horizontal="center" vertical="center" wrapText="1"/>
      <protection locked="0"/>
    </xf>
    <xf numFmtId="4" fontId="2" fillId="8" borderId="0" xfId="0" applyNumberFormat="1" applyFont="1" applyFill="1" applyBorder="1" applyAlignment="1" applyProtection="1">
      <alignment horizontal="center" vertical="center" wrapText="1"/>
      <protection locked="0"/>
    </xf>
    <xf numFmtId="4" fontId="2" fillId="9" borderId="0" xfId="0" applyNumberFormat="1" applyFont="1" applyFill="1" applyBorder="1" applyAlignment="1" applyProtection="1">
      <alignment horizontal="center" vertical="center" wrapText="1"/>
      <protection locked="0"/>
    </xf>
    <xf numFmtId="4" fontId="2" fillId="10" borderId="0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0" xfId="0" applyFont="1" applyFill="1" applyBorder="1" applyAlignment="1" applyProtection="1">
      <alignment horizontal="center"/>
    </xf>
    <xf numFmtId="0" fontId="2" fillId="6" borderId="1" xfId="0" applyFont="1" applyFill="1" applyBorder="1" applyAlignment="1" applyProtection="1">
      <alignment horizontal="center" vertical="center"/>
    </xf>
    <xf numFmtId="0" fontId="2" fillId="8" borderId="6" xfId="0" applyFont="1" applyFill="1" applyBorder="1" applyAlignment="1" applyProtection="1">
      <alignment horizontal="center" vertical="center"/>
      <protection locked="0"/>
    </xf>
    <xf numFmtId="0" fontId="2" fillId="9" borderId="6" xfId="0" applyFont="1" applyFill="1" applyBorder="1" applyAlignment="1" applyProtection="1">
      <alignment horizontal="center" vertical="center"/>
      <protection locked="0"/>
    </xf>
    <xf numFmtId="0" fontId="2" fillId="10" borderId="6" xfId="0" applyFont="1" applyFill="1" applyBorder="1" applyAlignment="1" applyProtection="1">
      <alignment horizontal="center" vertical="center"/>
      <protection locked="0"/>
    </xf>
    <xf numFmtId="0" fontId="12" fillId="9" borderId="7" xfId="0" applyFont="1" applyFill="1" applyBorder="1" applyAlignment="1" applyProtection="1">
      <alignment horizontal="center" vertical="center"/>
      <protection locked="0"/>
    </xf>
    <xf numFmtId="0" fontId="13" fillId="10" borderId="7" xfId="0" applyFont="1" applyFill="1" applyBorder="1" applyAlignment="1" applyProtection="1">
      <alignment horizontal="center" vertical="center"/>
      <protection locked="0"/>
    </xf>
    <xf numFmtId="167" fontId="2" fillId="8" borderId="6" xfId="0" applyNumberFormat="1" applyFont="1" applyFill="1" applyBorder="1" applyAlignment="1" applyProtection="1">
      <alignment horizontal="center" vertical="center"/>
      <protection locked="0"/>
    </xf>
    <xf numFmtId="167" fontId="2" fillId="9" borderId="6" xfId="0" applyNumberFormat="1" applyFont="1" applyFill="1" applyBorder="1" applyAlignment="1" applyProtection="1">
      <alignment horizontal="center" vertical="center"/>
      <protection locked="0"/>
    </xf>
    <xf numFmtId="167" fontId="2" fillId="10" borderId="6" xfId="0" applyNumberFormat="1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Border="1" applyAlignment="1" applyProtection="1"/>
    <xf numFmtId="0" fontId="14" fillId="2" borderId="0" xfId="0" applyFont="1" applyFill="1" applyBorder="1" applyAlignment="1" applyProtection="1">
      <alignment horizontal="left"/>
    </xf>
    <xf numFmtId="165" fontId="2" fillId="2" borderId="0" xfId="0" applyNumberFormat="1" applyFont="1" applyFill="1" applyBorder="1" applyAlignment="1" applyProtection="1">
      <alignment horizontal="right"/>
    </xf>
    <xf numFmtId="0" fontId="6" fillId="5" borderId="1" xfId="0" applyFont="1" applyFill="1" applyBorder="1" applyAlignment="1" applyProtection="1">
      <alignment horizontal="center" vertical="center" wrapText="1"/>
    </xf>
    <xf numFmtId="167" fontId="2" fillId="10" borderId="9" xfId="0" applyNumberFormat="1" applyFont="1" applyFill="1" applyBorder="1" applyAlignment="1" applyProtection="1">
      <alignment horizontal="center" vertical="center"/>
      <protection locked="0"/>
    </xf>
    <xf numFmtId="3" fontId="2" fillId="8" borderId="1" xfId="0" applyNumberFormat="1" applyFont="1" applyFill="1" applyBorder="1" applyAlignment="1" applyProtection="1">
      <alignment horizontal="right" vertical="center" wrapText="1"/>
      <protection locked="0"/>
    </xf>
    <xf numFmtId="3" fontId="2" fillId="9" borderId="1" xfId="0" applyNumberFormat="1" applyFont="1" applyFill="1" applyBorder="1" applyAlignment="1" applyProtection="1">
      <alignment horizontal="right" vertical="center" wrapText="1"/>
      <protection locked="0"/>
    </xf>
    <xf numFmtId="3" fontId="2" fillId="10" borderId="1" xfId="0" applyNumberFormat="1" applyFont="1" applyFill="1" applyBorder="1" applyAlignment="1" applyProtection="1">
      <alignment horizontal="right" vertical="center" wrapText="1"/>
      <protection locked="0"/>
    </xf>
    <xf numFmtId="4" fontId="2" fillId="8" borderId="1" xfId="0" applyNumberFormat="1" applyFont="1" applyFill="1" applyBorder="1" applyAlignment="1" applyProtection="1">
      <alignment horizontal="right" vertical="center" wrapText="1"/>
      <protection locked="0"/>
    </xf>
    <xf numFmtId="4" fontId="2" fillId="9" borderId="1" xfId="0" applyNumberFormat="1" applyFont="1" applyFill="1" applyBorder="1" applyAlignment="1" applyProtection="1">
      <alignment horizontal="right" vertical="center" wrapText="1"/>
      <protection locked="0"/>
    </xf>
    <xf numFmtId="4" fontId="2" fillId="10" borderId="1" xfId="0" applyNumberFormat="1" applyFont="1" applyFill="1" applyBorder="1" applyAlignment="1" applyProtection="1">
      <alignment horizontal="right" vertical="center" wrapText="1"/>
      <protection locked="0"/>
    </xf>
    <xf numFmtId="0" fontId="15" fillId="2" borderId="0" xfId="0" applyFont="1" applyFill="1" applyBorder="1" applyAlignment="1" applyProtection="1"/>
    <xf numFmtId="165" fontId="2" fillId="2" borderId="0" xfId="0" applyNumberFormat="1" applyFont="1" applyFill="1" applyBorder="1" applyAlignment="1" applyProtection="1">
      <alignment horizontal="center"/>
    </xf>
    <xf numFmtId="0" fontId="6" fillId="5" borderId="10" xfId="0" applyFont="1" applyFill="1" applyBorder="1" applyAlignment="1" applyProtection="1">
      <alignment horizontal="center" vertical="center"/>
    </xf>
    <xf numFmtId="168" fontId="2" fillId="8" borderId="1" xfId="0" applyNumberFormat="1" applyFont="1" applyFill="1" applyBorder="1" applyAlignment="1" applyProtection="1">
      <alignment horizontal="center" vertical="center" wrapText="1"/>
      <protection locked="0"/>
    </xf>
    <xf numFmtId="168" fontId="2" fillId="9" borderId="1" xfId="0" applyNumberFormat="1" applyFont="1" applyFill="1" applyBorder="1" applyAlignment="1" applyProtection="1">
      <alignment horizontal="center" vertical="center" wrapText="1"/>
      <protection locked="0"/>
    </xf>
    <xf numFmtId="168" fontId="2" fillId="10" borderId="1" xfId="0" applyNumberFormat="1" applyFont="1" applyFill="1" applyBorder="1" applyAlignment="1" applyProtection="1">
      <alignment horizontal="center" vertical="center" wrapText="1"/>
      <protection locked="0"/>
    </xf>
    <xf numFmtId="0" fontId="15" fillId="0" borderId="0" xfId="0" applyFont="1" applyBorder="1" applyAlignment="1" applyProtection="1"/>
    <xf numFmtId="165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165" fontId="2" fillId="8" borderId="1" xfId="0" applyNumberFormat="1" applyFont="1" applyFill="1" applyBorder="1" applyAlignment="1" applyProtection="1">
      <alignment horizontal="right" vertical="center" wrapText="1"/>
      <protection locked="0"/>
    </xf>
    <xf numFmtId="165" fontId="2" fillId="9" borderId="1" xfId="0" applyNumberFormat="1" applyFont="1" applyFill="1" applyBorder="1" applyAlignment="1" applyProtection="1">
      <alignment horizontal="right" vertical="center" wrapText="1"/>
      <protection locked="0"/>
    </xf>
    <xf numFmtId="165" fontId="2" fillId="10" borderId="1" xfId="0" applyNumberFormat="1" applyFont="1" applyFill="1" applyBorder="1" applyAlignment="1" applyProtection="1">
      <alignment horizontal="right" vertical="center" wrapText="1"/>
      <protection locked="0"/>
    </xf>
    <xf numFmtId="166" fontId="2" fillId="7" borderId="1" xfId="0" applyNumberFormat="1" applyFont="1" applyFill="1" applyBorder="1" applyAlignment="1" applyProtection="1">
      <alignment horizontal="center" vertical="center" wrapText="1"/>
      <protection locked="0"/>
    </xf>
    <xf numFmtId="1" fontId="2" fillId="7" borderId="1" xfId="0" applyNumberFormat="1" applyFont="1" applyFill="1" applyBorder="1" applyAlignment="1" applyProtection="1">
      <alignment horizontal="right" vertical="center" wrapText="1"/>
      <protection locked="0"/>
    </xf>
    <xf numFmtId="0" fontId="7" fillId="2" borderId="0" xfId="0" applyFont="1" applyFill="1" applyBorder="1" applyAlignment="1" applyProtection="1">
      <alignment horizontal="left" vertical="center" wrapText="1"/>
    </xf>
    <xf numFmtId="0" fontId="7" fillId="2" borderId="0" xfId="0" applyFont="1" applyFill="1" applyBorder="1" applyAlignment="1" applyProtection="1">
      <alignment horizontal="center" vertical="center" wrapText="1"/>
    </xf>
    <xf numFmtId="165" fontId="7" fillId="2" borderId="0" xfId="0" applyNumberFormat="1" applyFont="1" applyFill="1" applyBorder="1" applyAlignment="1" applyProtection="1">
      <alignment horizontal="center" vertical="center" wrapText="1"/>
    </xf>
    <xf numFmtId="0" fontId="6" fillId="5" borderId="11" xfId="0" applyFont="1" applyFill="1" applyBorder="1" applyAlignment="1" applyProtection="1">
      <alignment horizontal="center" vertical="center"/>
    </xf>
    <xf numFmtId="0" fontId="6" fillId="5" borderId="11" xfId="0" applyFont="1" applyFill="1" applyBorder="1" applyAlignment="1" applyProtection="1">
      <alignment horizontal="center" vertical="center" wrapText="1"/>
    </xf>
    <xf numFmtId="0" fontId="6" fillId="5" borderId="11" xfId="0" applyFont="1" applyFill="1" applyBorder="1" applyAlignment="1" applyProtection="1">
      <alignment horizontal="center"/>
    </xf>
    <xf numFmtId="165" fontId="2" fillId="8" borderId="11" xfId="0" applyNumberFormat="1" applyFont="1" applyFill="1" applyBorder="1" applyAlignment="1" applyProtection="1">
      <alignment horizontal="right" vertical="center" wrapText="1"/>
      <protection locked="0"/>
    </xf>
    <xf numFmtId="165" fontId="2" fillId="9" borderId="11" xfId="0" applyNumberFormat="1" applyFont="1" applyFill="1" applyBorder="1" applyAlignment="1" applyProtection="1">
      <alignment horizontal="right" vertical="center" wrapText="1"/>
      <protection locked="0"/>
    </xf>
    <xf numFmtId="165" fontId="2" fillId="10" borderId="11" xfId="0" applyNumberFormat="1" applyFont="1" applyFill="1" applyBorder="1" applyAlignment="1" applyProtection="1">
      <alignment horizontal="right" vertical="center" wrapText="1"/>
      <protection locked="0"/>
    </xf>
    <xf numFmtId="0" fontId="15" fillId="2" borderId="0" xfId="0" applyFont="1" applyFill="1" applyBorder="1" applyAlignment="1" applyProtection="1">
      <alignment wrapText="1"/>
    </xf>
    <xf numFmtId="0" fontId="15" fillId="2" borderId="0" xfId="0" applyFont="1" applyFill="1" applyBorder="1" applyAlignment="1" applyProtection="1">
      <alignment horizontal="center" wrapText="1"/>
    </xf>
    <xf numFmtId="165" fontId="2" fillId="8" borderId="1" xfId="0" applyNumberFormat="1" applyFont="1" applyFill="1" applyBorder="1" applyAlignment="1" applyProtection="1">
      <alignment vertical="center" wrapText="1"/>
      <protection locked="0"/>
    </xf>
    <xf numFmtId="165" fontId="2" fillId="9" borderId="1" xfId="0" applyNumberFormat="1" applyFont="1" applyFill="1" applyBorder="1" applyAlignment="1" applyProtection="1">
      <alignment vertical="center" wrapText="1"/>
      <protection locked="0"/>
    </xf>
    <xf numFmtId="165" fontId="2" fillId="10" borderId="1" xfId="0" applyNumberFormat="1" applyFont="1" applyFill="1" applyBorder="1" applyAlignment="1" applyProtection="1">
      <alignment vertical="center" wrapText="1"/>
      <protection locked="0"/>
    </xf>
    <xf numFmtId="0" fontId="16" fillId="5" borderId="1" xfId="0" applyFont="1" applyFill="1" applyBorder="1" applyAlignment="1" applyProtection="1">
      <alignment horizontal="center" vertical="center" wrapText="1"/>
    </xf>
    <xf numFmtId="0" fontId="17" fillId="2" borderId="0" xfId="0" applyFont="1" applyFill="1" applyBorder="1" applyAlignment="1" applyProtection="1">
      <alignment horizontal="left" vertical="center"/>
    </xf>
    <xf numFmtId="0" fontId="18" fillId="2" borderId="0" xfId="0" applyFont="1" applyFill="1" applyBorder="1" applyAlignment="1" applyProtection="1">
      <alignment horizontal="left" vertical="center" wrapText="1"/>
    </xf>
    <xf numFmtId="165" fontId="18" fillId="2" borderId="0" xfId="0" applyNumberFormat="1" applyFont="1" applyFill="1" applyBorder="1" applyAlignment="1" applyProtection="1">
      <alignment horizontal="center" vertical="center" wrapText="1"/>
    </xf>
    <xf numFmtId="0" fontId="2" fillId="2" borderId="0" xfId="0" applyFont="1" applyFill="1" applyBorder="1" applyAlignment="1" applyProtection="1">
      <alignment horizontal="left" vertical="center" wrapText="1"/>
    </xf>
    <xf numFmtId="3" fontId="2" fillId="6" borderId="1" xfId="0" applyNumberFormat="1" applyFont="1" applyFill="1" applyBorder="1" applyAlignment="1" applyProtection="1">
      <alignment horizontal="right" vertical="center" wrapText="1"/>
      <protection locked="0"/>
    </xf>
    <xf numFmtId="3" fontId="2" fillId="4" borderId="1" xfId="0" applyNumberFormat="1" applyFont="1" applyFill="1" applyBorder="1" applyAlignment="1" applyProtection="1">
      <alignment horizontal="right" vertical="center" wrapText="1"/>
      <protection locked="0"/>
    </xf>
    <xf numFmtId="169" fontId="2" fillId="4" borderId="1" xfId="0" applyNumberFormat="1" applyFont="1" applyFill="1" applyBorder="1" applyAlignment="1" applyProtection="1">
      <alignment horizontal="right" vertical="center" wrapText="1"/>
      <protection locked="0"/>
    </xf>
    <xf numFmtId="169" fontId="2" fillId="6" borderId="1" xfId="0" applyNumberFormat="1" applyFont="1" applyFill="1" applyBorder="1" applyAlignment="1" applyProtection="1">
      <alignment horizontal="right" vertical="center" wrapText="1"/>
      <protection locked="0"/>
    </xf>
    <xf numFmtId="166" fontId="2" fillId="6" borderId="1" xfId="0" applyNumberFormat="1" applyFont="1" applyFill="1" applyBorder="1" applyAlignment="1" applyProtection="1">
      <alignment horizontal="right" vertical="center" wrapText="1"/>
      <protection locked="0"/>
    </xf>
    <xf numFmtId="0" fontId="2" fillId="4" borderId="1" xfId="0" applyFont="1" applyFill="1" applyBorder="1" applyAlignment="1" applyProtection="1">
      <alignment horizontal="center"/>
    </xf>
    <xf numFmtId="166" fontId="2" fillId="4" borderId="1" xfId="0" applyNumberFormat="1" applyFont="1" applyFill="1" applyBorder="1" applyAlignment="1" applyProtection="1">
      <alignment horizontal="right" vertical="center" wrapText="1"/>
      <protection locked="0"/>
    </xf>
    <xf numFmtId="165" fontId="2" fillId="6" borderId="1" xfId="0" applyNumberFormat="1" applyFont="1" applyFill="1" applyBorder="1" applyAlignment="1" applyProtection="1">
      <alignment horizontal="right" vertical="center" wrapText="1"/>
      <protection locked="0"/>
    </xf>
    <xf numFmtId="165" fontId="2" fillId="4" borderId="1" xfId="0" applyNumberFormat="1" applyFont="1" applyFill="1" applyBorder="1" applyAlignment="1" applyProtection="1">
      <alignment horizontal="right" vertical="center" wrapText="1"/>
      <protection locked="0"/>
    </xf>
    <xf numFmtId="2" fontId="2" fillId="6" borderId="1" xfId="0" applyNumberFormat="1" applyFont="1" applyFill="1" applyBorder="1" applyAlignment="1" applyProtection="1">
      <alignment horizontal="center" vertical="center" wrapText="1"/>
    </xf>
    <xf numFmtId="2" fontId="2" fillId="4" borderId="1" xfId="0" applyNumberFormat="1" applyFont="1" applyFill="1" applyBorder="1" applyAlignment="1" applyProtection="1">
      <alignment horizontal="center" vertical="center"/>
    </xf>
    <xf numFmtId="2" fontId="2" fillId="4" borderId="1" xfId="0" applyNumberFormat="1" applyFont="1" applyFill="1" applyBorder="1" applyAlignment="1" applyProtection="1">
      <alignment horizontal="center" vertical="center" wrapText="1"/>
    </xf>
    <xf numFmtId="2" fontId="6" fillId="5" borderId="1" xfId="0" applyNumberFormat="1" applyFont="1" applyFill="1" applyBorder="1" applyAlignment="1" applyProtection="1">
      <alignment horizontal="center" vertical="center"/>
    </xf>
    <xf numFmtId="164" fontId="3" fillId="4" borderId="2" xfId="0" applyNumberFormat="1" applyFont="1" applyFill="1" applyBorder="1" applyAlignment="1" applyProtection="1">
      <alignment horizontal="right"/>
    </xf>
    <xf numFmtId="164" fontId="3" fillId="4" borderId="2" xfId="0" applyNumberFormat="1" applyFont="1" applyFill="1" applyBorder="1" applyAlignment="1" applyProtection="1"/>
    <xf numFmtId="49" fontId="2" fillId="4" borderId="1" xfId="0" applyNumberFormat="1" applyFont="1" applyFill="1" applyBorder="1" applyAlignment="1" applyProtection="1">
      <alignment horizontal="center"/>
    </xf>
    <xf numFmtId="0" fontId="19" fillId="0" borderId="0" xfId="0" applyFont="1" applyBorder="1" applyAlignment="1" applyProtection="1">
      <alignment horizontal="center"/>
    </xf>
    <xf numFmtId="164" fontId="2" fillId="6" borderId="1" xfId="0" applyNumberFormat="1" applyFont="1" applyFill="1" applyBorder="1" applyAlignment="1" applyProtection="1">
      <alignment horizontal="center"/>
    </xf>
    <xf numFmtId="2" fontId="2" fillId="6" borderId="1" xfId="0" applyNumberFormat="1" applyFont="1" applyFill="1" applyBorder="1" applyAlignment="1" applyProtection="1">
      <alignment horizontal="center"/>
    </xf>
    <xf numFmtId="0" fontId="4" fillId="2" borderId="0" xfId="0" applyFont="1" applyFill="1" applyBorder="1" applyAlignment="1" applyProtection="1">
      <alignment vertical="top"/>
    </xf>
    <xf numFmtId="0" fontId="5" fillId="2" borderId="0" xfId="0" applyFont="1" applyFill="1" applyBorder="1" applyAlignment="1" applyProtection="1">
      <alignment vertical="center"/>
    </xf>
    <xf numFmtId="0" fontId="2" fillId="2" borderId="0" xfId="0" applyFont="1" applyFill="1" applyBorder="1" applyAlignment="1" applyProtection="1">
      <alignment vertical="top"/>
    </xf>
    <xf numFmtId="0" fontId="2" fillId="4" borderId="1" xfId="0" applyFont="1" applyFill="1" applyBorder="1" applyAlignment="1" applyProtection="1"/>
    <xf numFmtId="0" fontId="2" fillId="6" borderId="1" xfId="0" applyFont="1" applyFill="1" applyBorder="1" applyAlignment="1" applyProtection="1"/>
    <xf numFmtId="164" fontId="2" fillId="4" borderId="1" xfId="0" applyNumberFormat="1" applyFont="1" applyFill="1" applyBorder="1" applyAlignment="1" applyProtection="1">
      <alignment horizontal="center"/>
    </xf>
    <xf numFmtId="0" fontId="18" fillId="2" borderId="0" xfId="0" applyFont="1" applyFill="1" applyBorder="1" applyAlignment="1" applyProtection="1"/>
    <xf numFmtId="166" fontId="2" fillId="6" borderId="1" xfId="0" applyNumberFormat="1" applyFont="1" applyFill="1" applyBorder="1" applyAlignment="1" applyProtection="1">
      <alignment horizontal="center"/>
    </xf>
    <xf numFmtId="4" fontId="2" fillId="6" borderId="1" xfId="0" applyNumberFormat="1" applyFont="1" applyFill="1" applyBorder="1" applyAlignment="1" applyProtection="1">
      <alignment horizontal="right" vertical="center" wrapText="1"/>
    </xf>
    <xf numFmtId="4" fontId="2" fillId="4" borderId="1" xfId="0" applyNumberFormat="1" applyFont="1" applyFill="1" applyBorder="1" applyAlignment="1" applyProtection="1">
      <alignment horizontal="right" vertical="center" wrapText="1"/>
    </xf>
    <xf numFmtId="4" fontId="6" fillId="5" borderId="1" xfId="0" applyNumberFormat="1" applyFont="1" applyFill="1" applyBorder="1" applyAlignment="1" applyProtection="1">
      <alignment horizontal="right" vertical="center" wrapText="1"/>
    </xf>
    <xf numFmtId="165" fontId="2" fillId="6" borderId="1" xfId="0" applyNumberFormat="1" applyFont="1" applyFill="1" applyBorder="1" applyAlignment="1" applyProtection="1">
      <alignment horizontal="right" vertical="center" wrapText="1"/>
    </xf>
    <xf numFmtId="165" fontId="2" fillId="4" borderId="1" xfId="0" applyNumberFormat="1" applyFont="1" applyFill="1" applyBorder="1" applyAlignment="1" applyProtection="1">
      <alignment horizontal="right" vertical="center" wrapText="1"/>
    </xf>
    <xf numFmtId="4" fontId="6" fillId="5" borderId="1" xfId="0" applyNumberFormat="1" applyFont="1" applyFill="1" applyBorder="1" applyAlignment="1" applyProtection="1">
      <alignment horizontal="right"/>
    </xf>
    <xf numFmtId="4" fontId="6" fillId="5" borderId="1" xfId="0" applyNumberFormat="1" applyFont="1" applyFill="1" applyBorder="1" applyAlignment="1" applyProtection="1">
      <alignment horizontal="right" vertical="center"/>
    </xf>
    <xf numFmtId="0" fontId="21" fillId="2" borderId="0" xfId="0" applyFont="1" applyFill="1" applyBorder="1" applyAlignment="1" applyProtection="1">
      <alignment horizontal="left" vertical="center"/>
    </xf>
    <xf numFmtId="170" fontId="2" fillId="4" borderId="1" xfId="0" applyNumberFormat="1" applyFont="1" applyFill="1" applyBorder="1" applyAlignment="1" applyProtection="1">
      <alignment horizontal="center" vertical="center" wrapText="1"/>
    </xf>
    <xf numFmtId="165" fontId="2" fillId="6" borderId="11" xfId="0" applyNumberFormat="1" applyFont="1" applyFill="1" applyBorder="1" applyAlignment="1" applyProtection="1">
      <alignment horizontal="right" vertical="center" wrapText="1"/>
    </xf>
    <xf numFmtId="165" fontId="2" fillId="4" borderId="11" xfId="0" applyNumberFormat="1" applyFont="1" applyFill="1" applyBorder="1" applyAlignment="1" applyProtection="1">
      <alignment horizontal="right" vertical="center" wrapText="1"/>
    </xf>
    <xf numFmtId="4" fontId="6" fillId="5" borderId="11" xfId="0" applyNumberFormat="1" applyFont="1" applyFill="1" applyBorder="1" applyAlignment="1" applyProtection="1">
      <alignment horizontal="right" vertical="center" wrapText="1"/>
    </xf>
    <xf numFmtId="165" fontId="2" fillId="6" borderId="1" xfId="0" applyNumberFormat="1" applyFont="1" applyFill="1" applyBorder="1" applyAlignment="1" applyProtection="1">
      <alignment horizontal="center" vertical="center" wrapText="1"/>
    </xf>
    <xf numFmtId="165" fontId="2" fillId="4" borderId="1" xfId="0" applyNumberFormat="1" applyFont="1" applyFill="1" applyBorder="1" applyAlignment="1" applyProtection="1">
      <alignment horizontal="center" vertical="center" wrapText="1"/>
    </xf>
    <xf numFmtId="165" fontId="22" fillId="4" borderId="1" xfId="0" applyNumberFormat="1" applyFont="1" applyFill="1" applyBorder="1" applyAlignment="1" applyProtection="1">
      <alignment horizontal="center" vertical="center" wrapText="1"/>
    </xf>
    <xf numFmtId="165" fontId="22" fillId="4" borderId="1" xfId="0" applyNumberFormat="1" applyFont="1" applyFill="1" applyBorder="1" applyAlignment="1" applyProtection="1">
      <alignment horizontal="right" vertical="center" wrapText="1"/>
    </xf>
    <xf numFmtId="165" fontId="22" fillId="6" borderId="1" xfId="0" applyNumberFormat="1" applyFont="1" applyFill="1" applyBorder="1" applyAlignment="1" applyProtection="1">
      <alignment horizontal="center" vertical="center" wrapText="1"/>
    </xf>
    <xf numFmtId="165" fontId="22" fillId="6" borderId="1" xfId="0" applyNumberFormat="1" applyFont="1" applyFill="1" applyBorder="1" applyAlignment="1" applyProtection="1">
      <alignment horizontal="right" vertical="center" wrapText="1"/>
    </xf>
    <xf numFmtId="165" fontId="6" fillId="5" borderId="1" xfId="0" applyNumberFormat="1" applyFont="1" applyFill="1" applyBorder="1" applyAlignment="1" applyProtection="1">
      <alignment horizontal="right" vertical="center" wrapText="1"/>
    </xf>
    <xf numFmtId="0" fontId="23" fillId="2" borderId="0" xfId="0" applyFont="1" applyFill="1" applyBorder="1" applyAlignment="1" applyProtection="1">
      <alignment horizontal="left" vertical="center"/>
    </xf>
    <xf numFmtId="165" fontId="2" fillId="2" borderId="0" xfId="0" applyNumberFormat="1" applyFont="1" applyFill="1" applyBorder="1" applyAlignment="1" applyProtection="1">
      <alignment horizontal="center" vertical="center" wrapText="1"/>
    </xf>
    <xf numFmtId="0" fontId="2" fillId="2" borderId="0" xfId="0" applyFont="1" applyFill="1" applyBorder="1" applyAlignment="1" applyProtection="1">
      <alignment wrapText="1"/>
    </xf>
    <xf numFmtId="165" fontId="2" fillId="8" borderId="0" xfId="0" applyNumberFormat="1" applyFont="1" applyFill="1" applyBorder="1" applyAlignment="1" applyProtection="1">
      <alignment horizontal="center"/>
    </xf>
    <xf numFmtId="165" fontId="2" fillId="9" borderId="0" xfId="0" applyNumberFormat="1" applyFont="1" applyFill="1" applyBorder="1" applyAlignment="1" applyProtection="1">
      <alignment horizontal="center"/>
    </xf>
    <xf numFmtId="165" fontId="2" fillId="10" borderId="0" xfId="0" applyNumberFormat="1" applyFont="1" applyFill="1" applyBorder="1" applyAlignment="1" applyProtection="1">
      <alignment horizontal="center"/>
    </xf>
    <xf numFmtId="0" fontId="6" fillId="2" borderId="12" xfId="0" applyFont="1" applyFill="1" applyBorder="1" applyAlignment="1" applyProtection="1">
      <alignment horizontal="center"/>
    </xf>
    <xf numFmtId="0" fontId="2" fillId="2" borderId="12" xfId="0" applyFont="1" applyFill="1" applyBorder="1" applyAlignment="1" applyProtection="1">
      <alignment horizontal="left"/>
    </xf>
    <xf numFmtId="164" fontId="2" fillId="2" borderId="12" xfId="0" applyNumberFormat="1" applyFont="1" applyFill="1" applyBorder="1" applyAlignment="1" applyProtection="1">
      <alignment horizontal="center"/>
    </xf>
    <xf numFmtId="166" fontId="24" fillId="5" borderId="1" xfId="0" applyNumberFormat="1" applyFont="1" applyFill="1" applyBorder="1" applyAlignment="1" applyProtection="1">
      <alignment horizontal="center"/>
    </xf>
    <xf numFmtId="0" fontId="2" fillId="0" borderId="0" xfId="0" applyFont="1" applyAlignment="1" applyProtection="1"/>
    <xf numFmtId="4" fontId="2" fillId="8" borderId="1" xfId="0" applyNumberFormat="1" applyFont="1" applyFill="1" applyBorder="1" applyAlignment="1" applyProtection="1">
      <alignment horizontal="right" vertical="center" wrapText="1"/>
    </xf>
    <xf numFmtId="4" fontId="2" fillId="9" borderId="1" xfId="0" applyNumberFormat="1" applyFont="1" applyFill="1" applyBorder="1" applyAlignment="1" applyProtection="1">
      <alignment horizontal="right" vertical="center" wrapText="1"/>
    </xf>
    <xf numFmtId="4" fontId="2" fillId="10" borderId="1" xfId="0" applyNumberFormat="1" applyFont="1" applyFill="1" applyBorder="1" applyAlignment="1" applyProtection="1">
      <alignment horizontal="right" vertical="center" wrapText="1"/>
    </xf>
    <xf numFmtId="165" fontId="7" fillId="8" borderId="0" xfId="0" applyNumberFormat="1" applyFont="1" applyFill="1" applyBorder="1" applyAlignment="1" applyProtection="1">
      <alignment horizontal="center" vertical="center" wrapText="1"/>
    </xf>
    <xf numFmtId="165" fontId="7" fillId="9" borderId="0" xfId="0" applyNumberFormat="1" applyFont="1" applyFill="1" applyBorder="1" applyAlignment="1" applyProtection="1">
      <alignment horizontal="center" vertical="center" wrapText="1"/>
    </xf>
    <xf numFmtId="165" fontId="7" fillId="10" borderId="0" xfId="0" applyNumberFormat="1" applyFont="1" applyFill="1" applyBorder="1" applyAlignment="1" applyProtection="1">
      <alignment horizontal="center" vertical="center" wrapText="1"/>
    </xf>
    <xf numFmtId="165" fontId="2" fillId="8" borderId="1" xfId="0" applyNumberFormat="1" applyFont="1" applyFill="1" applyBorder="1" applyAlignment="1" applyProtection="1">
      <alignment horizontal="right" vertical="center" wrapText="1"/>
    </xf>
    <xf numFmtId="165" fontId="2" fillId="9" borderId="1" xfId="0" applyNumberFormat="1" applyFont="1" applyFill="1" applyBorder="1" applyAlignment="1" applyProtection="1">
      <alignment horizontal="right" vertical="center" wrapText="1"/>
    </xf>
    <xf numFmtId="165" fontId="2" fillId="10" borderId="1" xfId="0" applyNumberFormat="1" applyFont="1" applyFill="1" applyBorder="1" applyAlignment="1" applyProtection="1">
      <alignment horizontal="right" vertical="center" wrapText="1"/>
    </xf>
    <xf numFmtId="0" fontId="13" fillId="9" borderId="0" xfId="0" applyFont="1" applyFill="1" applyBorder="1" applyAlignment="1" applyProtection="1"/>
    <xf numFmtId="0" fontId="13" fillId="10" borderId="0" xfId="0" applyFont="1" applyFill="1" applyBorder="1" applyAlignment="1" applyProtection="1"/>
    <xf numFmtId="0" fontId="6" fillId="5" borderId="15" xfId="0" applyFont="1" applyFill="1" applyBorder="1" applyAlignment="1" applyProtection="1">
      <alignment horizontal="center"/>
    </xf>
    <xf numFmtId="165" fontId="2" fillId="8" borderId="15" xfId="0" applyNumberFormat="1" applyFont="1" applyFill="1" applyBorder="1" applyAlignment="1" applyProtection="1">
      <alignment horizontal="right" vertical="center" wrapText="1"/>
    </xf>
    <xf numFmtId="165" fontId="2" fillId="9" borderId="15" xfId="0" applyNumberFormat="1" applyFont="1" applyFill="1" applyBorder="1" applyAlignment="1" applyProtection="1">
      <alignment horizontal="right" vertical="center" wrapText="1"/>
    </xf>
    <xf numFmtId="165" fontId="2" fillId="10" borderId="15" xfId="0" applyNumberFormat="1" applyFont="1" applyFill="1" applyBorder="1" applyAlignment="1" applyProtection="1">
      <alignment horizontal="right" vertical="center" wrapText="1"/>
    </xf>
    <xf numFmtId="0" fontId="6" fillId="5" borderId="9" xfId="0" applyFont="1" applyFill="1" applyBorder="1" applyAlignment="1" applyProtection="1">
      <alignment horizontal="center"/>
    </xf>
    <xf numFmtId="165" fontId="2" fillId="8" borderId="9" xfId="0" applyNumberFormat="1" applyFont="1" applyFill="1" applyBorder="1" applyAlignment="1" applyProtection="1">
      <alignment horizontal="right" vertical="center" wrapText="1"/>
    </xf>
    <xf numFmtId="165" fontId="2" fillId="9" borderId="16" xfId="0" applyNumberFormat="1" applyFont="1" applyFill="1" applyBorder="1" applyAlignment="1" applyProtection="1">
      <alignment horizontal="right" vertical="center" wrapText="1"/>
    </xf>
    <xf numFmtId="165" fontId="2" fillId="10" borderId="9" xfId="0" applyNumberFormat="1" applyFont="1" applyFill="1" applyBorder="1" applyAlignment="1" applyProtection="1">
      <alignment horizontal="right" vertical="center" wrapText="1"/>
    </xf>
    <xf numFmtId="0" fontId="1" fillId="0" borderId="0" xfId="0" applyFont="1" applyBorder="1" applyAlignment="1" applyProtection="1"/>
    <xf numFmtId="0" fontId="0" fillId="0" borderId="0" xfId="0" applyBorder="1" applyAlignment="1" applyProtection="1"/>
    <xf numFmtId="0" fontId="6" fillId="5" borderId="3" xfId="0" applyFont="1" applyFill="1" applyBorder="1" applyAlignment="1" applyProtection="1">
      <alignment horizontal="center"/>
    </xf>
    <xf numFmtId="165" fontId="2" fillId="8" borderId="3" xfId="0" applyNumberFormat="1" applyFont="1" applyFill="1" applyBorder="1" applyAlignment="1" applyProtection="1">
      <alignment horizontal="right" vertical="center" wrapText="1"/>
    </xf>
    <xf numFmtId="165" fontId="2" fillId="9" borderId="3" xfId="0" applyNumberFormat="1" applyFont="1" applyFill="1" applyBorder="1" applyAlignment="1" applyProtection="1">
      <alignment horizontal="right" vertical="center" wrapText="1"/>
    </xf>
    <xf numFmtId="165" fontId="2" fillId="10" borderId="3" xfId="0" applyNumberFormat="1" applyFont="1" applyFill="1" applyBorder="1" applyAlignment="1" applyProtection="1">
      <alignment horizontal="right" vertical="center" wrapText="1"/>
    </xf>
    <xf numFmtId="165" fontId="2" fillId="8" borderId="11" xfId="0" applyNumberFormat="1" applyFont="1" applyFill="1" applyBorder="1" applyAlignment="1" applyProtection="1">
      <alignment horizontal="right" vertical="center" wrapText="1"/>
    </xf>
    <xf numFmtId="165" fontId="2" fillId="9" borderId="11" xfId="0" applyNumberFormat="1" applyFont="1" applyFill="1" applyBorder="1" applyAlignment="1" applyProtection="1">
      <alignment horizontal="right" vertical="center" wrapText="1"/>
    </xf>
    <xf numFmtId="165" fontId="2" fillId="10" borderId="11" xfId="0" applyNumberFormat="1" applyFont="1" applyFill="1" applyBorder="1" applyAlignment="1" applyProtection="1">
      <alignment horizontal="right" vertical="center" wrapText="1"/>
    </xf>
    <xf numFmtId="165" fontId="22" fillId="8" borderId="1" xfId="0" applyNumberFormat="1" applyFont="1" applyFill="1" applyBorder="1" applyAlignment="1" applyProtection="1">
      <alignment horizontal="right" vertical="center" wrapText="1"/>
    </xf>
    <xf numFmtId="165" fontId="22" fillId="9" borderId="1" xfId="0" applyNumberFormat="1" applyFont="1" applyFill="1" applyBorder="1" applyAlignment="1" applyProtection="1">
      <alignment horizontal="right" vertical="center" wrapText="1"/>
    </xf>
    <xf numFmtId="165" fontId="22" fillId="10" borderId="1" xfId="0" applyNumberFormat="1" applyFont="1" applyFill="1" applyBorder="1" applyAlignment="1" applyProtection="1">
      <alignment horizontal="right" vertical="center" wrapText="1"/>
    </xf>
    <xf numFmtId="165" fontId="2" fillId="8" borderId="0" xfId="0" applyNumberFormat="1" applyFont="1" applyFill="1" applyBorder="1" applyAlignment="1" applyProtection="1">
      <alignment horizontal="right"/>
    </xf>
    <xf numFmtId="165" fontId="2" fillId="10" borderId="0" xfId="0" applyNumberFormat="1" applyFont="1" applyFill="1" applyBorder="1" applyAlignment="1" applyProtection="1">
      <alignment horizontal="right"/>
    </xf>
    <xf numFmtId="0" fontId="6" fillId="5" borderId="15" xfId="0" applyFont="1" applyFill="1" applyBorder="1" applyAlignment="1" applyProtection="1">
      <alignment horizontal="center" vertical="center"/>
    </xf>
    <xf numFmtId="0" fontId="6" fillId="5" borderId="15" xfId="0" applyFont="1" applyFill="1" applyBorder="1" applyAlignment="1" applyProtection="1">
      <alignment horizontal="center" vertical="center" wrapText="1"/>
    </xf>
    <xf numFmtId="0" fontId="6" fillId="5" borderId="17" xfId="0" applyFont="1" applyFill="1" applyBorder="1" applyAlignment="1" applyProtection="1">
      <alignment horizontal="center"/>
    </xf>
    <xf numFmtId="165" fontId="2" fillId="8" borderId="18" xfId="0" applyNumberFormat="1" applyFont="1" applyFill="1" applyBorder="1" applyAlignment="1" applyProtection="1">
      <alignment horizontal="right" vertical="center" wrapText="1"/>
    </xf>
    <xf numFmtId="165" fontId="2" fillId="10" borderId="19" xfId="0" applyNumberFormat="1" applyFont="1" applyFill="1" applyBorder="1" applyAlignment="1" applyProtection="1">
      <alignment horizontal="right" vertical="center" wrapText="1"/>
    </xf>
    <xf numFmtId="0" fontId="6" fillId="5" borderId="20" xfId="0" applyFont="1" applyFill="1" applyBorder="1" applyAlignment="1" applyProtection="1">
      <alignment horizontal="center"/>
    </xf>
    <xf numFmtId="165" fontId="2" fillId="8" borderId="21" xfId="0" applyNumberFormat="1" applyFont="1" applyFill="1" applyBorder="1" applyAlignment="1" applyProtection="1">
      <alignment horizontal="right" vertical="center" wrapText="1"/>
    </xf>
    <xf numFmtId="165" fontId="2" fillId="10" borderId="22" xfId="0" applyNumberFormat="1" applyFont="1" applyFill="1" applyBorder="1" applyAlignment="1" applyProtection="1">
      <alignment horizontal="right" vertical="center" wrapText="1"/>
    </xf>
    <xf numFmtId="0" fontId="33" fillId="0" borderId="0" xfId="0" applyFont="1" applyAlignment="1">
      <alignment wrapText="1"/>
    </xf>
    <xf numFmtId="0" fontId="34" fillId="15" borderId="13" xfId="0" applyFont="1" applyFill="1" applyBorder="1" applyAlignment="1" applyProtection="1">
      <alignment horizontal="center" vertical="center" wrapText="1"/>
    </xf>
    <xf numFmtId="167" fontId="34" fillId="15" borderId="13" xfId="0" applyNumberFormat="1" applyFont="1" applyFill="1" applyBorder="1" applyAlignment="1" applyProtection="1">
      <alignment horizontal="center" vertical="center" wrapText="1"/>
    </xf>
    <xf numFmtId="167" fontId="36" fillId="15" borderId="13" xfId="0" applyNumberFormat="1" applyFont="1" applyFill="1" applyBorder="1" applyAlignment="1" applyProtection="1">
      <alignment horizontal="center" vertical="center" wrapText="1"/>
    </xf>
    <xf numFmtId="0" fontId="33" fillId="0" borderId="13" xfId="0" applyFont="1" applyBorder="1" applyAlignment="1" applyProtection="1">
      <alignment horizontal="center" vertical="center" wrapText="1"/>
    </xf>
    <xf numFmtId="0" fontId="33" fillId="0" borderId="13" xfId="0" applyFont="1" applyBorder="1" applyAlignment="1" applyProtection="1">
      <alignment horizontal="left" vertical="center" wrapText="1"/>
    </xf>
    <xf numFmtId="167" fontId="33" fillId="0" borderId="13" xfId="0" applyNumberFormat="1" applyFont="1" applyBorder="1" applyAlignment="1" applyProtection="1">
      <alignment horizontal="center" vertical="center" wrapText="1"/>
    </xf>
    <xf numFmtId="171" fontId="33" fillId="0" borderId="13" xfId="0" applyNumberFormat="1" applyFont="1" applyBorder="1" applyAlignment="1" applyProtection="1">
      <alignment horizontal="center" vertical="center" wrapText="1"/>
    </xf>
    <xf numFmtId="10" fontId="33" fillId="0" borderId="13" xfId="0" applyNumberFormat="1" applyFont="1" applyBorder="1" applyAlignment="1" applyProtection="1">
      <alignment horizontal="center" vertical="center" wrapText="1"/>
    </xf>
    <xf numFmtId="167" fontId="33" fillId="0" borderId="13" xfId="0" applyNumberFormat="1" applyFont="1" applyBorder="1" applyAlignment="1" applyProtection="1">
      <alignment vertical="center" wrapText="1"/>
    </xf>
    <xf numFmtId="167" fontId="33" fillId="17" borderId="13" xfId="0" applyNumberFormat="1" applyFont="1" applyFill="1" applyBorder="1" applyAlignment="1" applyProtection="1">
      <alignment vertical="center" wrapText="1"/>
    </xf>
    <xf numFmtId="0" fontId="33" fillId="15" borderId="13" xfId="0" applyFont="1" applyFill="1" applyBorder="1" applyAlignment="1" applyProtection="1">
      <alignment horizontal="center" vertical="center" wrapText="1"/>
    </xf>
    <xf numFmtId="0" fontId="36" fillId="15" borderId="13" xfId="0" applyFont="1" applyFill="1" applyBorder="1" applyAlignment="1" applyProtection="1">
      <alignment horizontal="center" vertical="center" wrapText="1"/>
    </xf>
    <xf numFmtId="167" fontId="33" fillId="0" borderId="13" xfId="0" applyNumberFormat="1" applyFont="1" applyBorder="1" applyAlignment="1" applyProtection="1">
      <alignment horizontal="center" wrapText="1"/>
    </xf>
    <xf numFmtId="167" fontId="30" fillId="17" borderId="13" xfId="0" applyNumberFormat="1" applyFont="1" applyFill="1" applyBorder="1" applyAlignment="1" applyProtection="1">
      <alignment horizontal="center" wrapText="1"/>
    </xf>
    <xf numFmtId="0" fontId="33" fillId="0" borderId="13" xfId="0" applyFont="1" applyBorder="1" applyAlignment="1" applyProtection="1">
      <alignment wrapText="1"/>
    </xf>
    <xf numFmtId="4" fontId="33" fillId="13" borderId="13" xfId="0" applyNumberFormat="1" applyFont="1" applyFill="1" applyBorder="1" applyAlignment="1" applyProtection="1">
      <alignment horizontal="right" vertical="center"/>
    </xf>
    <xf numFmtId="4" fontId="33" fillId="0" borderId="13" xfId="0" applyNumberFormat="1" applyFont="1" applyBorder="1" applyAlignment="1" applyProtection="1">
      <alignment horizontal="right" vertical="center"/>
    </xf>
    <xf numFmtId="4" fontId="37" fillId="12" borderId="13" xfId="0" applyNumberFormat="1" applyFont="1" applyFill="1" applyBorder="1" applyAlignment="1" applyProtection="1">
      <alignment horizontal="right" vertical="center" wrapText="1"/>
    </xf>
    <xf numFmtId="0" fontId="37" fillId="12" borderId="13" xfId="0" applyFont="1" applyFill="1" applyBorder="1" applyAlignment="1" applyProtection="1">
      <alignment horizontal="center" vertical="center" wrapText="1"/>
    </xf>
    <xf numFmtId="0" fontId="33" fillId="0" borderId="0" xfId="0" applyFont="1" applyAlignment="1">
      <alignment vertical="center"/>
    </xf>
    <xf numFmtId="0" fontId="33" fillId="0" borderId="13" xfId="0" applyFont="1" applyBorder="1" applyAlignment="1">
      <alignment horizontal="center" vertical="center" wrapText="1"/>
    </xf>
    <xf numFmtId="0" fontId="33" fillId="0" borderId="13" xfId="0" applyFont="1" applyBorder="1" applyAlignment="1">
      <alignment vertical="center" wrapText="1"/>
    </xf>
    <xf numFmtId="0" fontId="33" fillId="0" borderId="0" xfId="0" applyFont="1" applyAlignment="1">
      <alignment horizontal="center" vertical="center"/>
    </xf>
    <xf numFmtId="0" fontId="13" fillId="2" borderId="0" xfId="0" applyFont="1" applyFill="1" applyBorder="1" applyAlignment="1" applyProtection="1">
      <alignment horizontal="left" vertical="center" wrapText="1" indent="1"/>
    </xf>
    <xf numFmtId="0" fontId="25" fillId="2" borderId="0" xfId="0" applyFont="1" applyFill="1" applyBorder="1" applyAlignment="1" applyProtection="1">
      <alignment horizontal="left" vertical="center" wrapText="1" indent="1"/>
    </xf>
    <xf numFmtId="0" fontId="25" fillId="20" borderId="23" xfId="0" applyFont="1" applyFill="1" applyBorder="1" applyAlignment="1" applyProtection="1">
      <alignment horizontal="left" vertical="center" wrapText="1" indent="1"/>
    </xf>
    <xf numFmtId="0" fontId="13" fillId="0" borderId="25" xfId="0" applyFont="1" applyBorder="1" applyAlignment="1" applyProtection="1">
      <alignment horizontal="left" vertical="center" wrapText="1" indent="1"/>
    </xf>
    <xf numFmtId="0" fontId="13" fillId="0" borderId="23" xfId="0" applyFont="1" applyBorder="1" applyAlignment="1" applyProtection="1">
      <alignment horizontal="left" vertical="center" wrapText="1" indent="1"/>
    </xf>
    <xf numFmtId="167" fontId="13" fillId="0" borderId="23" xfId="0" applyNumberFormat="1" applyFont="1" applyBorder="1" applyAlignment="1" applyProtection="1">
      <alignment horizontal="left" vertical="center" wrapText="1" indent="1"/>
    </xf>
    <xf numFmtId="1" fontId="13" fillId="0" borderId="23" xfId="0" applyNumberFormat="1" applyFont="1" applyBorder="1" applyAlignment="1" applyProtection="1">
      <alignment horizontal="left" vertical="center" wrapText="1" indent="1"/>
    </xf>
    <xf numFmtId="1" fontId="25" fillId="21" borderId="23" xfId="0" applyNumberFormat="1" applyFont="1" applyFill="1" applyBorder="1" applyAlignment="1" applyProtection="1">
      <alignment horizontal="left" vertical="center" wrapText="1" indent="1"/>
    </xf>
    <xf numFmtId="167" fontId="25" fillId="21" borderId="23" xfId="0" applyNumberFormat="1" applyFont="1" applyFill="1" applyBorder="1" applyAlignment="1" applyProtection="1">
      <alignment horizontal="left" vertical="center" wrapText="1" indent="1"/>
    </xf>
    <xf numFmtId="0" fontId="25" fillId="0" borderId="23" xfId="0" applyFont="1" applyBorder="1" applyAlignment="1" applyProtection="1">
      <alignment horizontal="left" vertical="center" wrapText="1" indent="1"/>
    </xf>
    <xf numFmtId="1" fontId="25" fillId="22" borderId="24" xfId="0" applyNumberFormat="1" applyFont="1" applyFill="1" applyBorder="1" applyAlignment="1" applyProtection="1">
      <alignment horizontal="left" vertical="center" wrapText="1" indent="1"/>
    </xf>
    <xf numFmtId="167" fontId="25" fillId="22" borderId="24" xfId="0" applyNumberFormat="1" applyFont="1" applyFill="1" applyBorder="1" applyAlignment="1" applyProtection="1">
      <alignment horizontal="left" vertical="center" wrapText="1" indent="1"/>
    </xf>
    <xf numFmtId="0" fontId="25" fillId="25" borderId="0" xfId="0" applyFont="1" applyFill="1" applyBorder="1" applyAlignment="1" applyProtection="1">
      <alignment horizontal="left" vertical="center" wrapText="1" indent="1"/>
    </xf>
    <xf numFmtId="1" fontId="25" fillId="25" borderId="0" xfId="0" applyNumberFormat="1" applyFont="1" applyFill="1" applyBorder="1" applyAlignment="1" applyProtection="1">
      <alignment horizontal="left" vertical="center" wrapText="1" indent="1"/>
    </xf>
    <xf numFmtId="167" fontId="25" fillId="25" borderId="0" xfId="0" applyNumberFormat="1" applyFont="1" applyFill="1" applyBorder="1" applyAlignment="1" applyProtection="1">
      <alignment horizontal="left" vertical="center" wrapText="1" indent="1"/>
    </xf>
    <xf numFmtId="0" fontId="13" fillId="19" borderId="13" xfId="0" applyFont="1" applyFill="1" applyBorder="1" applyAlignment="1" applyProtection="1">
      <alignment horizontal="left" vertical="center" wrapText="1" indent="1"/>
    </xf>
    <xf numFmtId="167" fontId="13" fillId="0" borderId="13" xfId="0" applyNumberFormat="1" applyFont="1" applyBorder="1" applyAlignment="1" applyProtection="1">
      <alignment horizontal="left" vertical="center" wrapText="1" indent="1"/>
    </xf>
    <xf numFmtId="0" fontId="31" fillId="23" borderId="13" xfId="0" applyFont="1" applyFill="1" applyBorder="1" applyAlignment="1" applyProtection="1">
      <alignment horizontal="left" vertical="center" wrapText="1" indent="1"/>
    </xf>
    <xf numFmtId="0" fontId="13" fillId="26" borderId="0" xfId="0" applyFont="1" applyFill="1" applyBorder="1" applyAlignment="1" applyProtection="1">
      <alignment horizontal="left" vertical="center" wrapText="1" indent="1"/>
    </xf>
    <xf numFmtId="0" fontId="13" fillId="0" borderId="0" xfId="0" applyFont="1" applyAlignment="1" applyProtection="1">
      <alignment horizontal="left" vertical="center" wrapText="1" indent="1"/>
    </xf>
    <xf numFmtId="0" fontId="0" fillId="0" borderId="0" xfId="0" applyAlignment="1">
      <alignment horizontal="left" vertical="center" wrapText="1" indent="1"/>
    </xf>
    <xf numFmtId="172" fontId="13" fillId="0" borderId="13" xfId="0" applyNumberFormat="1" applyFont="1" applyBorder="1" applyAlignment="1" applyProtection="1">
      <alignment horizontal="left" vertical="center" wrapText="1" indent="1"/>
    </xf>
    <xf numFmtId="167" fontId="13" fillId="0" borderId="0" xfId="0" applyNumberFormat="1" applyFont="1" applyAlignment="1" applyProtection="1">
      <alignment horizontal="left" vertical="center" wrapText="1" indent="1"/>
    </xf>
    <xf numFmtId="167" fontId="13" fillId="0" borderId="0" xfId="0" applyNumberFormat="1" applyFont="1" applyFill="1" applyBorder="1" applyAlignment="1" applyProtection="1">
      <alignment horizontal="left" vertical="center" wrapText="1" indent="1"/>
    </xf>
    <xf numFmtId="0" fontId="13" fillId="0" borderId="0" xfId="0" applyFont="1" applyFill="1" applyBorder="1" applyAlignment="1" applyProtection="1">
      <alignment horizontal="left" vertical="center" wrapText="1" indent="1"/>
    </xf>
    <xf numFmtId="0" fontId="0" fillId="0" borderId="0" xfId="0" applyFill="1" applyBorder="1" applyAlignment="1">
      <alignment horizontal="left" vertical="center" wrapText="1" indent="1"/>
    </xf>
    <xf numFmtId="10" fontId="13" fillId="0" borderId="13" xfId="0" applyNumberFormat="1" applyFont="1" applyBorder="1" applyAlignment="1" applyProtection="1">
      <alignment horizontal="left" vertical="center" wrapText="1" indent="1"/>
    </xf>
    <xf numFmtId="167" fontId="31" fillId="0" borderId="13" xfId="0" applyNumberFormat="1" applyFont="1" applyBorder="1" applyAlignment="1" applyProtection="1">
      <alignment horizontal="left" vertical="center" wrapText="1" indent="1"/>
    </xf>
    <xf numFmtId="167" fontId="32" fillId="0" borderId="13" xfId="0" applyNumberFormat="1" applyFont="1" applyBorder="1" applyAlignment="1" applyProtection="1">
      <alignment horizontal="left" vertical="center" wrapText="1" indent="1"/>
    </xf>
    <xf numFmtId="0" fontId="25" fillId="24" borderId="0" xfId="0" applyFont="1" applyFill="1" applyBorder="1" applyAlignment="1" applyProtection="1">
      <alignment horizontal="left" vertical="center" wrapText="1" indent="1"/>
    </xf>
    <xf numFmtId="167" fontId="31" fillId="25" borderId="0" xfId="0" applyNumberFormat="1" applyFont="1" applyFill="1" applyBorder="1" applyAlignment="1" applyProtection="1">
      <alignment horizontal="left" vertical="center" wrapText="1" indent="1"/>
    </xf>
    <xf numFmtId="167" fontId="32" fillId="25" borderId="0" xfId="0" applyNumberFormat="1" applyFont="1" applyFill="1" applyBorder="1" applyAlignment="1" applyProtection="1">
      <alignment horizontal="left" vertical="center" wrapText="1" indent="1"/>
    </xf>
    <xf numFmtId="0" fontId="2" fillId="2" borderId="0" xfId="0" applyFont="1" applyFill="1" applyBorder="1" applyAlignment="1" applyProtection="1">
      <alignment horizontal="center" vertical="center"/>
    </xf>
    <xf numFmtId="0" fontId="1" fillId="0" borderId="0" xfId="0" applyFont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2" fillId="2" borderId="0" xfId="0" applyFont="1" applyFill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0" fillId="0" borderId="0" xfId="0" applyAlignment="1">
      <alignment vertical="center"/>
    </xf>
    <xf numFmtId="0" fontId="4" fillId="2" borderId="0" xfId="0" applyFont="1" applyFill="1" applyBorder="1" applyAlignment="1" applyProtection="1">
      <alignment vertical="center"/>
    </xf>
    <xf numFmtId="49" fontId="2" fillId="3" borderId="1" xfId="0" applyNumberFormat="1" applyFont="1" applyFill="1" applyBorder="1" applyAlignment="1" applyProtection="1">
      <alignment horizontal="center" vertical="center"/>
      <protection locked="0"/>
    </xf>
    <xf numFmtId="0" fontId="7" fillId="2" borderId="0" xfId="0" applyFont="1" applyFill="1" applyBorder="1" applyAlignment="1" applyProtection="1">
      <alignment vertical="center"/>
    </xf>
    <xf numFmtId="0" fontId="7" fillId="2" borderId="0" xfId="0" applyFont="1" applyFill="1" applyBorder="1" applyAlignment="1" applyProtection="1">
      <alignment horizontal="left" vertical="center"/>
    </xf>
    <xf numFmtId="49" fontId="2" fillId="2" borderId="0" xfId="0" applyNumberFormat="1" applyFont="1" applyFill="1" applyBorder="1" applyAlignment="1" applyProtection="1">
      <alignment horizontal="center" vertical="center"/>
    </xf>
    <xf numFmtId="164" fontId="2" fillId="3" borderId="1" xfId="0" applyNumberFormat="1" applyFont="1" applyFill="1" applyBorder="1" applyAlignment="1" applyProtection="1">
      <alignment horizontal="center" vertical="center"/>
      <protection locked="0"/>
    </xf>
    <xf numFmtId="0" fontId="9" fillId="3" borderId="0" xfId="0" applyFont="1" applyFill="1" applyAlignment="1" applyProtection="1">
      <alignment vertical="center"/>
    </xf>
    <xf numFmtId="0" fontId="2" fillId="8" borderId="1" xfId="0" applyFont="1" applyFill="1" applyBorder="1" applyAlignment="1" applyProtection="1">
      <alignment horizontal="center" vertical="center"/>
      <protection locked="0"/>
    </xf>
    <xf numFmtId="164" fontId="2" fillId="8" borderId="1" xfId="0" applyNumberFormat="1" applyFont="1" applyFill="1" applyBorder="1" applyAlignment="1" applyProtection="1">
      <alignment horizontal="center" vertical="center"/>
      <protection locked="0"/>
    </xf>
    <xf numFmtId="164" fontId="2" fillId="9" borderId="8" xfId="0" applyNumberFormat="1" applyFont="1" applyFill="1" applyBorder="1" applyAlignment="1" applyProtection="1">
      <alignment horizontal="center" vertical="center"/>
      <protection locked="0"/>
    </xf>
    <xf numFmtId="164" fontId="2" fillId="10" borderId="1" xfId="0" applyNumberFormat="1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left" vertical="center"/>
    </xf>
    <xf numFmtId="164" fontId="2" fillId="2" borderId="0" xfId="0" applyNumberFormat="1" applyFont="1" applyFill="1" applyBorder="1" applyAlignment="1" applyProtection="1">
      <alignment horizontal="center" vertical="center"/>
    </xf>
    <xf numFmtId="0" fontId="14" fillId="2" borderId="0" xfId="0" applyFont="1" applyFill="1" applyBorder="1" applyAlignment="1" applyProtection="1">
      <alignment horizontal="left" vertical="center"/>
    </xf>
    <xf numFmtId="165" fontId="2" fillId="2" borderId="0" xfId="0" applyNumberFormat="1" applyFont="1" applyFill="1" applyBorder="1" applyAlignment="1" applyProtection="1">
      <alignment horizontal="right" vertical="center"/>
    </xf>
    <xf numFmtId="0" fontId="15" fillId="2" borderId="0" xfId="0" applyFont="1" applyFill="1" applyBorder="1" applyAlignment="1" applyProtection="1">
      <alignment vertical="center"/>
    </xf>
    <xf numFmtId="165" fontId="2" fillId="2" borderId="0" xfId="0" applyNumberFormat="1" applyFont="1" applyFill="1" applyBorder="1" applyAlignment="1" applyProtection="1">
      <alignment horizontal="center" vertical="center"/>
    </xf>
    <xf numFmtId="0" fontId="15" fillId="0" borderId="0" xfId="0" applyFont="1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5" fillId="2" borderId="0" xfId="0" applyFont="1" applyFill="1" applyBorder="1" applyAlignment="1" applyProtection="1">
      <alignment vertical="center" wrapText="1"/>
    </xf>
    <xf numFmtId="0" fontId="13" fillId="0" borderId="0" xfId="0" applyFont="1" applyBorder="1" applyAlignment="1" applyProtection="1">
      <alignment vertical="center"/>
    </xf>
    <xf numFmtId="0" fontId="15" fillId="2" borderId="0" xfId="0" applyFont="1" applyFill="1" applyBorder="1" applyAlignment="1" applyProtection="1">
      <alignment horizontal="center" vertical="center" wrapText="1"/>
    </xf>
    <xf numFmtId="0" fontId="36" fillId="29" borderId="0" xfId="0" applyFont="1" applyFill="1" applyBorder="1" applyAlignment="1" applyProtection="1">
      <alignment vertical="center"/>
    </xf>
    <xf numFmtId="0" fontId="36" fillId="28" borderId="2" xfId="0" applyFont="1" applyFill="1" applyBorder="1" applyAlignment="1" applyProtection="1">
      <alignment horizontal="center" vertical="center"/>
    </xf>
    <xf numFmtId="0" fontId="36" fillId="27" borderId="2" xfId="0" applyFont="1" applyFill="1" applyBorder="1" applyAlignment="1" applyProtection="1">
      <alignment horizontal="center" vertical="center"/>
      <protection locked="0"/>
    </xf>
    <xf numFmtId="0" fontId="2" fillId="4" borderId="1" xfId="0" applyFont="1" applyFill="1" applyBorder="1" applyAlignment="1" applyProtection="1">
      <alignment horizontal="left" vertical="center" wrapText="1"/>
    </xf>
    <xf numFmtId="0" fontId="2" fillId="6" borderId="1" xfId="0" applyFont="1" applyFill="1" applyBorder="1" applyAlignment="1" applyProtection="1">
      <alignment horizontal="left" vertical="center" wrapText="1"/>
    </xf>
    <xf numFmtId="0" fontId="2" fillId="2" borderId="0" xfId="0" applyFont="1" applyFill="1" applyBorder="1" applyAlignment="1" applyProtection="1">
      <alignment horizontal="left" vertical="center" wrapText="1"/>
    </xf>
    <xf numFmtId="0" fontId="36" fillId="29" borderId="5" xfId="0" applyFont="1" applyFill="1" applyBorder="1" applyAlignment="1" applyProtection="1">
      <alignment horizontal="left" vertical="center"/>
    </xf>
    <xf numFmtId="0" fontId="36" fillId="29" borderId="28" xfId="0" applyFont="1" applyFill="1" applyBorder="1" applyAlignment="1" applyProtection="1">
      <alignment horizontal="left" vertical="center"/>
    </xf>
    <xf numFmtId="0" fontId="14" fillId="2" borderId="0" xfId="0" applyFont="1" applyFill="1" applyBorder="1" applyAlignment="1" applyProtection="1">
      <alignment horizontal="left" vertical="center" wrapText="1"/>
    </xf>
    <xf numFmtId="0" fontId="6" fillId="5" borderId="1" xfId="0" applyFont="1" applyFill="1" applyBorder="1" applyAlignment="1" applyProtection="1">
      <alignment horizontal="left" vertical="center"/>
    </xf>
    <xf numFmtId="0" fontId="6" fillId="5" borderId="11" xfId="0" applyFont="1" applyFill="1" applyBorder="1" applyAlignment="1" applyProtection="1">
      <alignment horizontal="left" vertical="center" wrapText="1"/>
    </xf>
    <xf numFmtId="0" fontId="2" fillId="6" borderId="11" xfId="0" applyFont="1" applyFill="1" applyBorder="1" applyAlignment="1" applyProtection="1">
      <alignment horizontal="left" vertical="center" wrapText="1"/>
    </xf>
    <xf numFmtId="0" fontId="2" fillId="4" borderId="11" xfId="0" applyFont="1" applyFill="1" applyBorder="1" applyAlignment="1" applyProtection="1">
      <alignment horizontal="left" vertical="center" wrapText="1"/>
    </xf>
    <xf numFmtId="165" fontId="2" fillId="3" borderId="1" xfId="0" applyNumberFormat="1" applyFont="1" applyFill="1" applyBorder="1" applyAlignment="1" applyProtection="1">
      <alignment horizontal="left" vertical="center" wrapText="1"/>
      <protection locked="0"/>
    </xf>
    <xf numFmtId="0" fontId="6" fillId="5" borderId="1" xfId="0" applyFont="1" applyFill="1" applyBorder="1" applyAlignment="1" applyProtection="1">
      <alignment horizontal="left" vertical="center" wrapText="1"/>
    </xf>
    <xf numFmtId="4" fontId="2" fillId="3" borderId="1" xfId="0" applyNumberFormat="1" applyFont="1" applyFill="1" applyBorder="1" applyAlignment="1" applyProtection="1">
      <alignment horizontal="left" vertical="center" wrapText="1"/>
      <protection locked="0"/>
    </xf>
    <xf numFmtId="165" fontId="2" fillId="6" borderId="1" xfId="0" applyNumberFormat="1" applyFont="1" applyFill="1" applyBorder="1" applyAlignment="1" applyProtection="1">
      <alignment horizontal="left" vertical="center" wrapText="1"/>
    </xf>
    <xf numFmtId="0" fontId="6" fillId="5" borderId="10" xfId="0" applyFont="1" applyFill="1" applyBorder="1" applyAlignment="1" applyProtection="1">
      <alignment horizontal="center" vertical="center"/>
    </xf>
    <xf numFmtId="0" fontId="6" fillId="7" borderId="10" xfId="0" applyFont="1" applyFill="1" applyBorder="1" applyAlignment="1" applyProtection="1">
      <alignment horizontal="left" vertical="center"/>
    </xf>
    <xf numFmtId="0" fontId="2" fillId="6" borderId="1" xfId="0" applyFont="1" applyFill="1" applyBorder="1" applyAlignment="1" applyProtection="1">
      <alignment horizontal="left" vertical="center"/>
    </xf>
    <xf numFmtId="165" fontId="2" fillId="4" borderId="1" xfId="0" applyNumberFormat="1" applyFont="1" applyFill="1" applyBorder="1" applyAlignment="1" applyProtection="1">
      <alignment horizontal="left" vertical="center" wrapText="1"/>
    </xf>
    <xf numFmtId="0" fontId="6" fillId="5" borderId="3" xfId="0" applyFont="1" applyFill="1" applyBorder="1" applyAlignment="1" applyProtection="1">
      <alignment horizontal="center" vertical="center"/>
    </xf>
    <xf numFmtId="0" fontId="2" fillId="6" borderId="1" xfId="0" applyFont="1" applyFill="1" applyBorder="1" applyAlignment="1" applyProtection="1">
      <alignment horizontal="center" vertical="center"/>
    </xf>
    <xf numFmtId="0" fontId="2" fillId="4" borderId="1" xfId="0" applyFont="1" applyFill="1" applyBorder="1" applyAlignment="1" applyProtection="1">
      <alignment horizontal="left" vertical="center"/>
    </xf>
    <xf numFmtId="0" fontId="8" fillId="7" borderId="0" xfId="0" applyFont="1" applyFill="1" applyBorder="1" applyAlignment="1" applyProtection="1">
      <alignment horizontal="center" vertical="center"/>
    </xf>
    <xf numFmtId="0" fontId="1" fillId="8" borderId="0" xfId="0" applyFont="1" applyFill="1" applyBorder="1" applyAlignment="1" applyProtection="1">
      <alignment horizontal="center" vertical="center"/>
    </xf>
    <xf numFmtId="49" fontId="2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6" fillId="5" borderId="5" xfId="0" applyFont="1" applyFill="1" applyBorder="1" applyAlignment="1" applyProtection="1">
      <alignment horizontal="left" vertical="center"/>
    </xf>
    <xf numFmtId="0" fontId="2" fillId="3" borderId="1" xfId="0" applyFont="1" applyFill="1" applyBorder="1" applyAlignment="1" applyProtection="1">
      <alignment horizontal="left" vertical="center"/>
      <protection locked="0"/>
    </xf>
    <xf numFmtId="0" fontId="2" fillId="3" borderId="1" xfId="0" applyFont="1" applyFill="1" applyBorder="1" applyAlignment="1" applyProtection="1">
      <alignment horizontal="right" vertical="center"/>
      <protection locked="0"/>
    </xf>
    <xf numFmtId="49" fontId="2" fillId="3" borderId="1" xfId="0" applyNumberFormat="1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left" vertical="center"/>
    </xf>
    <xf numFmtId="0" fontId="40" fillId="27" borderId="1" xfId="0" applyFont="1" applyFill="1" applyBorder="1" applyAlignment="1" applyProtection="1">
      <alignment horizontal="left" vertical="center"/>
      <protection locked="0"/>
    </xf>
    <xf numFmtId="0" fontId="5" fillId="2" borderId="0" xfId="0" applyFont="1" applyFill="1" applyBorder="1" applyAlignment="1" applyProtection="1">
      <alignment horizontal="center" vertical="center"/>
    </xf>
    <xf numFmtId="0" fontId="2" fillId="3" borderId="1" xfId="0" applyFont="1" applyFill="1" applyBorder="1" applyAlignment="1" applyProtection="1">
      <alignment horizontal="center" vertical="center"/>
      <protection locked="0"/>
    </xf>
    <xf numFmtId="0" fontId="2" fillId="4" borderId="1" xfId="0" applyFont="1" applyFill="1" applyBorder="1" applyAlignment="1" applyProtection="1">
      <alignment horizontal="left"/>
    </xf>
    <xf numFmtId="0" fontId="2" fillId="6" borderId="1" xfId="0" applyFont="1" applyFill="1" applyBorder="1" applyAlignment="1" applyProtection="1">
      <alignment horizontal="left"/>
    </xf>
    <xf numFmtId="4" fontId="2" fillId="4" borderId="1" xfId="0" applyNumberFormat="1" applyFont="1" applyFill="1" applyBorder="1" applyAlignment="1" applyProtection="1">
      <alignment horizontal="left" vertical="center" wrapText="1"/>
    </xf>
    <xf numFmtId="0" fontId="14" fillId="2" borderId="5" xfId="0" applyFont="1" applyFill="1" applyBorder="1" applyAlignment="1" applyProtection="1">
      <alignment horizontal="left" vertical="center" wrapText="1"/>
    </xf>
    <xf numFmtId="0" fontId="22" fillId="4" borderId="1" xfId="0" applyFont="1" applyFill="1" applyBorder="1" applyAlignment="1" applyProtection="1">
      <alignment horizontal="left" vertical="center" wrapText="1"/>
    </xf>
    <xf numFmtId="0" fontId="22" fillId="6" borderId="1" xfId="0" applyFont="1" applyFill="1" applyBorder="1" applyAlignment="1" applyProtection="1">
      <alignment horizontal="left" vertical="center" wrapText="1"/>
    </xf>
    <xf numFmtId="0" fontId="14" fillId="2" borderId="0" xfId="0" applyFont="1" applyFill="1" applyBorder="1" applyAlignment="1" applyProtection="1">
      <alignment horizontal="left" wrapText="1"/>
    </xf>
    <xf numFmtId="4" fontId="2" fillId="4" borderId="11" xfId="0" applyNumberFormat="1" applyFont="1" applyFill="1" applyBorder="1" applyAlignment="1" applyProtection="1">
      <alignment horizontal="left" vertical="center" wrapText="1"/>
    </xf>
    <xf numFmtId="0" fontId="2" fillId="6" borderId="1" xfId="0" applyFont="1" applyFill="1" applyBorder="1" applyAlignment="1" applyProtection="1">
      <alignment horizontal="left" wrapText="1"/>
    </xf>
    <xf numFmtId="0" fontId="2" fillId="4" borderId="1" xfId="0" applyFont="1" applyFill="1" applyBorder="1" applyAlignment="1" applyProtection="1">
      <alignment horizontal="center"/>
    </xf>
    <xf numFmtId="0" fontId="2" fillId="6" borderId="1" xfId="0" applyFont="1" applyFill="1" applyBorder="1" applyAlignment="1" applyProtection="1">
      <alignment horizontal="center"/>
    </xf>
    <xf numFmtId="0" fontId="20" fillId="2" borderId="12" xfId="0" applyFont="1" applyFill="1" applyBorder="1" applyAlignment="1" applyProtection="1">
      <alignment horizontal="center" vertical="center"/>
    </xf>
    <xf numFmtId="0" fontId="2" fillId="4" borderId="1" xfId="0" applyFont="1" applyFill="1" applyBorder="1" applyAlignment="1" applyProtection="1">
      <alignment horizontal="right"/>
    </xf>
    <xf numFmtId="0" fontId="19" fillId="0" borderId="0" xfId="0" applyFont="1" applyBorder="1" applyAlignment="1" applyProtection="1">
      <alignment horizontal="center"/>
    </xf>
    <xf numFmtId="0" fontId="3" fillId="6" borderId="1" xfId="0" applyFont="1" applyFill="1" applyBorder="1" applyAlignment="1" applyProtection="1">
      <alignment horizontal="left"/>
    </xf>
    <xf numFmtId="0" fontId="3" fillId="4" borderId="1" xfId="0" applyFont="1" applyFill="1" applyBorder="1" applyAlignment="1" applyProtection="1">
      <alignment horizontal="left"/>
    </xf>
    <xf numFmtId="0" fontId="5" fillId="2" borderId="0" xfId="0" applyFont="1" applyFill="1" applyBorder="1" applyAlignment="1" applyProtection="1">
      <alignment horizontal="center"/>
    </xf>
    <xf numFmtId="0" fontId="6" fillId="5" borderId="3" xfId="0" applyFont="1" applyFill="1" applyBorder="1" applyAlignment="1" applyProtection="1">
      <alignment horizontal="left"/>
    </xf>
    <xf numFmtId="0" fontId="37" fillId="12" borderId="13" xfId="0" applyFont="1" applyFill="1" applyBorder="1" applyAlignment="1" applyProtection="1">
      <alignment horizontal="right" vertical="center" wrapText="1"/>
    </xf>
    <xf numFmtId="0" fontId="37" fillId="11" borderId="13" xfId="0" applyFont="1" applyFill="1" applyBorder="1" applyAlignment="1" applyProtection="1">
      <alignment horizontal="center" vertical="center"/>
    </xf>
    <xf numFmtId="0" fontId="33" fillId="16" borderId="13" xfId="0" applyFont="1" applyFill="1" applyBorder="1" applyAlignment="1" applyProtection="1">
      <alignment horizontal="center" vertical="center" wrapText="1"/>
    </xf>
    <xf numFmtId="0" fontId="33" fillId="0" borderId="13" xfId="0" applyFont="1" applyBorder="1" applyAlignment="1" applyProtection="1">
      <alignment horizontal="center" vertical="center" wrapText="1"/>
    </xf>
    <xf numFmtId="167" fontId="33" fillId="14" borderId="13" xfId="0" applyNumberFormat="1" applyFont="1" applyFill="1" applyBorder="1" applyAlignment="1" applyProtection="1">
      <alignment horizontal="center" vertical="center" wrapText="1"/>
    </xf>
    <xf numFmtId="0" fontId="33" fillId="15" borderId="13" xfId="0" applyFont="1" applyFill="1" applyBorder="1" applyAlignment="1" applyProtection="1">
      <alignment horizontal="center" vertical="center" wrapText="1"/>
    </xf>
    <xf numFmtId="0" fontId="2" fillId="6" borderId="15" xfId="0" applyFont="1" applyFill="1" applyBorder="1" applyAlignment="1" applyProtection="1">
      <alignment horizontal="left" vertical="center" wrapText="1"/>
    </xf>
    <xf numFmtId="0" fontId="2" fillId="4" borderId="9" xfId="0" applyFont="1" applyFill="1" applyBorder="1" applyAlignment="1" applyProtection="1">
      <alignment horizontal="left" vertical="center" wrapText="1"/>
    </xf>
    <xf numFmtId="165" fontId="2" fillId="6" borderId="3" xfId="0" applyNumberFormat="1" applyFont="1" applyFill="1" applyBorder="1" applyAlignment="1" applyProtection="1">
      <alignment horizontal="left" vertical="center" wrapText="1"/>
    </xf>
    <xf numFmtId="0" fontId="39" fillId="0" borderId="12" xfId="0" applyFont="1" applyBorder="1" applyAlignment="1" applyProtection="1">
      <alignment horizontal="center"/>
    </xf>
    <xf numFmtId="0" fontId="38" fillId="2" borderId="0" xfId="0" applyFont="1" applyFill="1" applyBorder="1" applyAlignment="1" applyProtection="1">
      <alignment horizontal="center" vertical="center"/>
    </xf>
    <xf numFmtId="0" fontId="6" fillId="5" borderId="15" xfId="0" applyFont="1" applyFill="1" applyBorder="1" applyAlignment="1" applyProtection="1">
      <alignment horizontal="left" vertical="center" wrapText="1"/>
    </xf>
    <xf numFmtId="0" fontId="2" fillId="6" borderId="18" xfId="0" applyFont="1" applyFill="1" applyBorder="1" applyAlignment="1" applyProtection="1">
      <alignment horizontal="left" vertical="center" wrapText="1"/>
    </xf>
    <xf numFmtId="0" fontId="2" fillId="4" borderId="20" xfId="0" applyFont="1" applyFill="1" applyBorder="1" applyAlignment="1" applyProtection="1">
      <alignment horizontal="left" vertical="center" wrapText="1"/>
    </xf>
    <xf numFmtId="0" fontId="13" fillId="26" borderId="26" xfId="0" applyFont="1" applyFill="1" applyBorder="1" applyAlignment="1" applyProtection="1">
      <alignment horizontal="left" vertical="center" wrapText="1" indent="1"/>
    </xf>
    <xf numFmtId="0" fontId="13" fillId="26" borderId="0" xfId="0" applyFont="1" applyFill="1" applyBorder="1" applyAlignment="1" applyProtection="1">
      <alignment horizontal="left" vertical="center" wrapText="1" indent="1"/>
    </xf>
    <xf numFmtId="0" fontId="25" fillId="24" borderId="0" xfId="0" applyFont="1" applyFill="1" applyBorder="1" applyAlignment="1" applyProtection="1">
      <alignment horizontal="left" vertical="center" wrapText="1" indent="1"/>
    </xf>
    <xf numFmtId="0" fontId="25" fillId="18" borderId="14" xfId="0" applyFont="1" applyFill="1" applyBorder="1" applyAlignment="1" applyProtection="1">
      <alignment horizontal="left" vertical="center" wrapText="1" indent="1"/>
    </xf>
    <xf numFmtId="0" fontId="27" fillId="19" borderId="27" xfId="0" applyFont="1" applyFill="1" applyBorder="1" applyAlignment="1" applyProtection="1">
      <alignment horizontal="left" vertical="center" wrapText="1" indent="1"/>
    </xf>
    <xf numFmtId="0" fontId="13" fillId="21" borderId="23" xfId="0" applyFont="1" applyFill="1" applyBorder="1" applyAlignment="1" applyProtection="1">
      <alignment horizontal="left" vertical="center" wrapText="1" indent="1"/>
    </xf>
    <xf numFmtId="0" fontId="25" fillId="0" borderId="23" xfId="0" applyFont="1" applyBorder="1" applyAlignment="1" applyProtection="1">
      <alignment horizontal="left" vertical="center" wrapText="1" indent="1"/>
    </xf>
    <xf numFmtId="0" fontId="25" fillId="21" borderId="23" xfId="0" applyFont="1" applyFill="1" applyBorder="1" applyAlignment="1" applyProtection="1">
      <alignment horizontal="left" vertical="center" wrapText="1" indent="1"/>
    </xf>
    <xf numFmtId="0" fontId="25" fillId="22" borderId="24" xfId="0" applyFont="1" applyFill="1" applyBorder="1" applyAlignment="1" applyProtection="1">
      <alignment horizontal="left" vertical="center" wrapText="1" indent="1"/>
    </xf>
    <xf numFmtId="0" fontId="13" fillId="13" borderId="13" xfId="0" applyFont="1" applyFill="1" applyBorder="1" applyAlignment="1" applyProtection="1">
      <alignment horizontal="left" vertical="center" wrapText="1" indent="1"/>
    </xf>
    <xf numFmtId="0" fontId="25" fillId="18" borderId="13" xfId="0" applyFont="1" applyFill="1" applyBorder="1" applyAlignment="1" applyProtection="1">
      <alignment horizontal="left" vertical="center" wrapText="1" indent="1"/>
    </xf>
    <xf numFmtId="0" fontId="13" fillId="19" borderId="24" xfId="0" applyFont="1" applyFill="1" applyBorder="1" applyAlignment="1" applyProtection="1">
      <alignment horizontal="left" vertical="center" wrapText="1" indent="1"/>
    </xf>
    <xf numFmtId="0" fontId="26" fillId="13" borderId="13" xfId="0" applyFont="1" applyFill="1" applyBorder="1" applyAlignment="1" applyProtection="1">
      <alignment horizontal="left" vertical="center" wrapText="1" indent="1"/>
    </xf>
    <xf numFmtId="0" fontId="13" fillId="2" borderId="23" xfId="0" applyFont="1" applyFill="1" applyBorder="1" applyAlignment="1" applyProtection="1">
      <alignment horizontal="left" vertical="center" wrapText="1" indent="1"/>
    </xf>
    <xf numFmtId="0" fontId="13" fillId="2" borderId="13" xfId="0" applyFont="1" applyFill="1" applyBorder="1" applyAlignment="1" applyProtection="1">
      <alignment horizontal="left" vertical="center" wrapText="1" indent="1"/>
    </xf>
    <xf numFmtId="0" fontId="25" fillId="13" borderId="13" xfId="0" applyFont="1" applyFill="1" applyBorder="1" applyAlignment="1" applyProtection="1">
      <alignment horizontal="left" vertical="center" wrapText="1" indent="1"/>
    </xf>
    <xf numFmtId="0" fontId="13" fillId="0" borderId="13" xfId="0" applyFont="1" applyBorder="1" applyAlignment="1" applyProtection="1">
      <alignment horizontal="left" vertical="center" wrapText="1" indent="1"/>
    </xf>
    <xf numFmtId="0" fontId="25" fillId="2" borderId="0" xfId="0" applyFont="1" applyFill="1" applyBorder="1" applyAlignment="1" applyProtection="1">
      <alignment horizontal="left" vertical="center" wrapText="1" indent="1"/>
    </xf>
    <xf numFmtId="0" fontId="13" fillId="2" borderId="0" xfId="0" applyFont="1" applyFill="1" applyBorder="1" applyAlignment="1" applyProtection="1">
      <alignment horizontal="left" vertical="center" wrapText="1" indent="1"/>
    </xf>
  </cellXfs>
  <cellStyles count="1">
    <cellStyle name="Normal" xfId="0" builtinId="0"/>
  </cellStyles>
  <dxfs count="3">
    <dxf>
      <alignment horizontal="general" vertical="bottom" textRotation="0" wrapText="0" indent="0" shrinkToFit="0" readingOrder="1"/>
    </dxf>
    <dxf>
      <alignment horizontal="general" vertical="bottom" textRotation="0" wrapText="0" indent="0" shrinkToFit="0" readingOrder="1"/>
    </dxf>
    <dxf>
      <alignment horizontal="general" vertical="bottom" textRotation="0" wrapText="0" indent="0" shrinkToFit="0" readingOrder="1"/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E599"/>
      <rgbColor rgb="FFFF00FF"/>
      <rgbColor rgb="FF00FFFF"/>
      <rgbColor rgb="FF800000"/>
      <rgbColor rgb="FF008000"/>
      <rgbColor rgb="FF000080"/>
      <rgbColor rgb="FFFDE9D9"/>
      <rgbColor rgb="FF800080"/>
      <rgbColor rgb="FF008080"/>
      <rgbColor rgb="FFC0C0C0"/>
      <rgbColor rgb="FFD9D9D9"/>
      <rgbColor rgb="FF729FCF"/>
      <rgbColor rgb="FF953734"/>
      <rgbColor rgb="FFFFFFD7"/>
      <rgbColor rgb="FFEFEFEF"/>
      <rgbColor rgb="FF660066"/>
      <rgbColor rgb="FFF79646"/>
      <rgbColor rgb="FF0066CC"/>
      <rgbColor rgb="FFCCCCCC"/>
      <rgbColor rgb="FF000080"/>
      <rgbColor rgb="FFFF00FF"/>
      <rgbColor rgb="FFFFB66C"/>
      <rgbColor rgb="FF00FFFF"/>
      <rgbColor rgb="FF800080"/>
      <rgbColor rgb="FF800000"/>
      <rgbColor rgb="FF008080"/>
      <rgbColor rgb="FF0000FF"/>
      <rgbColor rgb="FF00CCFF"/>
      <rgbColor rgb="FFF2F2F2"/>
      <rgbColor rgb="FFE0EFD4"/>
      <rgbColor rgb="FFE8F2A1"/>
      <rgbColor rgb="FFB4C7DC"/>
      <rgbColor rgb="FFF7A19A"/>
      <rgbColor rgb="FFD8D8D8"/>
      <rgbColor rgb="FFFBD4B4"/>
      <rgbColor rgb="FF3366FF"/>
      <rgbColor rgb="FFDDDDDD"/>
      <rgbColor rgb="FF77BC65"/>
      <rgbColor rgb="FFFFBF00"/>
      <rgbColor rgb="FFFF8000"/>
      <rgbColor rgb="FFEA7500"/>
      <rgbColor rgb="FF666699"/>
      <rgbColor rgb="FFB2B2B2"/>
      <rgbColor rgb="FF003366"/>
      <rgbColor rgb="FF339966"/>
      <rgbColor rgb="FF003300"/>
      <rgbColor rgb="FF333300"/>
      <rgbColor rgb="FFCE181E"/>
      <rgbColor rgb="FFD55816"/>
      <rgbColor rgb="FF333399"/>
      <rgbColor rgb="FF63242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7</xdr:col>
      <xdr:colOff>332640</xdr:colOff>
      <xdr:row>40</xdr:row>
      <xdr:rowOff>208860</xdr:rowOff>
    </xdr:to>
    <xdr:sp macro="" textlink="">
      <xdr:nvSpPr>
        <xdr:cNvPr id="2" name="CustomShape 1" hidden="1"/>
        <xdr:cNvSpPr/>
      </xdr:nvSpPr>
      <xdr:spPr>
        <a:xfrm>
          <a:off x="0" y="0"/>
          <a:ext cx="9132120" cy="97336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47625</xdr:colOff>
      <xdr:row>51</xdr:row>
      <xdr:rowOff>38100</xdr:rowOff>
    </xdr:to>
    <xdr:sp macro="" textlink="">
      <xdr:nvSpPr>
        <xdr:cNvPr id="3074" name="_x0000_t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990600</xdr:colOff>
      <xdr:row>25</xdr:row>
      <xdr:rowOff>142875</xdr:rowOff>
    </xdr:to>
    <xdr:sp macro="" textlink="">
      <xdr:nvSpPr>
        <xdr:cNvPr id="2054" name="_x0000_t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990600</xdr:colOff>
      <xdr:row>25</xdr:row>
      <xdr:rowOff>142875</xdr:rowOff>
    </xdr:to>
    <xdr:sp macro="" textlink="">
      <xdr:nvSpPr>
        <xdr:cNvPr id="2052" name="_x0000_t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990600</xdr:colOff>
      <xdr:row>25</xdr:row>
      <xdr:rowOff>142875</xdr:rowOff>
    </xdr:to>
    <xdr:sp macro="" textlink="">
      <xdr:nvSpPr>
        <xdr:cNvPr id="2050" name="_x0000_t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lainevaz/Downloads/Downloads/MODELO-PLANILHA-PADRAO-RTC-EDICAO-4-OUTRAS-CATEGORIAS-AJUSTADA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ERÇÃO-DE-DADOS"/>
      <sheetName val="DADOS-ESTATISTICOS"/>
      <sheetName val="ENCARGOS-SOCIAIS-E-TRABALHISTAS"/>
      <sheetName val="POSTO 12x36 HORAS"/>
      <sheetName val="POSTO 44 HORAS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J90"/>
  <sheetViews>
    <sheetView zoomScale="90" zoomScaleNormal="90" workbookViewId="0">
      <selection activeCell="I11" sqref="I11"/>
    </sheetView>
  </sheetViews>
  <sheetFormatPr defaultRowHeight="14.25" x14ac:dyDescent="0.2"/>
  <cols>
    <col min="1" max="1" width="2.7109375" style="238" customWidth="1"/>
    <col min="2" max="2" width="8.85546875" style="238" customWidth="1"/>
    <col min="3" max="3" width="46.28515625" style="238" customWidth="1"/>
    <col min="4" max="4" width="18.140625" style="238" customWidth="1"/>
    <col min="5" max="5" width="14.140625" style="238" customWidth="1"/>
    <col min="6" max="8" width="17.28515625" style="238" customWidth="1"/>
    <col min="9" max="993" width="12.5703125" style="238" customWidth="1"/>
    <col min="994" max="995" width="11.5703125" style="238"/>
    <col min="996" max="1025" width="11.5703125" style="239"/>
    <col min="1026" max="16384" width="9.140625" style="239"/>
  </cols>
  <sheetData>
    <row r="1" spans="1:995" ht="30" customHeight="1" x14ac:dyDescent="0.2">
      <c r="A1" s="237"/>
      <c r="B1" s="295" t="s">
        <v>311</v>
      </c>
      <c r="C1" s="295"/>
      <c r="D1" s="295"/>
      <c r="E1" s="295"/>
      <c r="F1" s="295"/>
      <c r="G1" s="263"/>
      <c r="H1" s="263"/>
    </row>
    <row r="2" spans="1:995" s="236" customFormat="1" ht="38.25" customHeight="1" x14ac:dyDescent="0.2">
      <c r="B2" s="269" t="s">
        <v>312</v>
      </c>
      <c r="C2" s="269"/>
      <c r="D2" s="269"/>
      <c r="E2" s="269"/>
      <c r="F2" s="270"/>
      <c r="G2" s="264" t="s">
        <v>0</v>
      </c>
      <c r="H2" s="265" t="s">
        <v>1</v>
      </c>
      <c r="I2" s="235"/>
      <c r="J2" s="235"/>
      <c r="K2" s="235"/>
      <c r="L2" s="235"/>
      <c r="M2" s="235"/>
      <c r="N2" s="235"/>
      <c r="O2" s="235"/>
      <c r="P2" s="235"/>
      <c r="Q2" s="235"/>
      <c r="R2" s="235"/>
      <c r="S2" s="235"/>
      <c r="T2" s="235"/>
      <c r="U2" s="235"/>
      <c r="V2" s="235"/>
      <c r="W2" s="235"/>
      <c r="X2" s="235"/>
      <c r="Y2" s="235"/>
      <c r="Z2" s="235"/>
      <c r="AA2" s="235"/>
      <c r="AB2" s="235"/>
      <c r="AC2" s="235"/>
      <c r="AD2" s="235"/>
      <c r="AE2" s="235"/>
      <c r="AF2" s="235"/>
      <c r="AG2" s="235"/>
      <c r="AH2" s="235"/>
      <c r="AI2" s="235"/>
      <c r="AJ2" s="235"/>
      <c r="AK2" s="235"/>
      <c r="AL2" s="235"/>
      <c r="AM2" s="235"/>
      <c r="AN2" s="235"/>
      <c r="AO2" s="235"/>
      <c r="AP2" s="235"/>
      <c r="AQ2" s="235"/>
      <c r="AR2" s="235"/>
      <c r="AS2" s="235"/>
      <c r="AT2" s="235"/>
      <c r="AU2" s="235"/>
      <c r="AV2" s="235"/>
      <c r="AW2" s="235"/>
      <c r="AX2" s="235"/>
      <c r="AY2" s="235"/>
      <c r="AZ2" s="235"/>
      <c r="BA2" s="235"/>
      <c r="BB2" s="235"/>
      <c r="BC2" s="235"/>
      <c r="BD2" s="235"/>
      <c r="BE2" s="235"/>
      <c r="BF2" s="235"/>
      <c r="BG2" s="235"/>
      <c r="BH2" s="235"/>
      <c r="BI2" s="235"/>
      <c r="BJ2" s="235"/>
      <c r="BK2" s="235"/>
      <c r="BL2" s="235"/>
      <c r="BM2" s="235"/>
      <c r="BN2" s="235"/>
      <c r="BO2" s="235"/>
      <c r="BP2" s="235"/>
      <c r="BQ2" s="235"/>
      <c r="BR2" s="235"/>
      <c r="BS2" s="235"/>
      <c r="BT2" s="235"/>
      <c r="BU2" s="235"/>
      <c r="BV2" s="235"/>
      <c r="BW2" s="235"/>
      <c r="BX2" s="235"/>
      <c r="BY2" s="235"/>
      <c r="BZ2" s="235"/>
      <c r="CA2" s="235"/>
      <c r="CB2" s="235"/>
      <c r="CC2" s="235"/>
      <c r="CD2" s="235"/>
      <c r="CE2" s="235"/>
      <c r="CF2" s="235"/>
      <c r="CG2" s="235"/>
      <c r="CH2" s="235"/>
      <c r="CI2" s="235"/>
      <c r="CJ2" s="235"/>
      <c r="CK2" s="235"/>
      <c r="CL2" s="235"/>
      <c r="CM2" s="235"/>
      <c r="CN2" s="235"/>
      <c r="CO2" s="235"/>
      <c r="CP2" s="235"/>
      <c r="CQ2" s="235"/>
      <c r="CR2" s="235"/>
      <c r="CS2" s="235"/>
      <c r="CT2" s="235"/>
      <c r="CU2" s="235"/>
      <c r="CV2" s="235"/>
      <c r="CW2" s="235"/>
      <c r="CX2" s="235"/>
      <c r="CY2" s="235"/>
      <c r="CZ2" s="235"/>
      <c r="DA2" s="235"/>
      <c r="DB2" s="235"/>
      <c r="DC2" s="235"/>
      <c r="DD2" s="235"/>
      <c r="DE2" s="235"/>
      <c r="DF2" s="235"/>
      <c r="DG2" s="235"/>
      <c r="DH2" s="235"/>
      <c r="DI2" s="235"/>
      <c r="DJ2" s="235"/>
      <c r="DK2" s="235"/>
      <c r="DL2" s="235"/>
      <c r="DM2" s="235"/>
      <c r="DN2" s="235"/>
      <c r="DO2" s="235"/>
      <c r="DP2" s="235"/>
      <c r="DQ2" s="235"/>
      <c r="DR2" s="235"/>
      <c r="DS2" s="235"/>
      <c r="DT2" s="235"/>
      <c r="DU2" s="235"/>
      <c r="DV2" s="235"/>
      <c r="DW2" s="235"/>
      <c r="DX2" s="235"/>
      <c r="DY2" s="235"/>
      <c r="DZ2" s="235"/>
      <c r="EA2" s="235"/>
      <c r="EB2" s="235"/>
      <c r="EC2" s="235"/>
      <c r="ED2" s="235"/>
      <c r="EE2" s="235"/>
      <c r="EF2" s="235"/>
      <c r="EG2" s="235"/>
      <c r="EH2" s="235"/>
      <c r="EI2" s="235"/>
      <c r="EJ2" s="235"/>
      <c r="EK2" s="235"/>
      <c r="EL2" s="235"/>
      <c r="EM2" s="235"/>
      <c r="EN2" s="235"/>
      <c r="EO2" s="235"/>
      <c r="EP2" s="235"/>
      <c r="EQ2" s="235"/>
      <c r="ER2" s="235"/>
      <c r="ES2" s="235"/>
      <c r="ET2" s="235"/>
      <c r="EU2" s="235"/>
      <c r="EV2" s="235"/>
      <c r="EW2" s="235"/>
      <c r="EX2" s="235"/>
      <c r="EY2" s="235"/>
      <c r="EZ2" s="235"/>
      <c r="FA2" s="235"/>
      <c r="FB2" s="235"/>
      <c r="FC2" s="235"/>
      <c r="FD2" s="235"/>
      <c r="FE2" s="235"/>
      <c r="FF2" s="235"/>
      <c r="FG2" s="235"/>
      <c r="FH2" s="235"/>
      <c r="FI2" s="235"/>
      <c r="FJ2" s="235"/>
      <c r="FK2" s="235"/>
      <c r="FL2" s="235"/>
      <c r="FM2" s="235"/>
      <c r="FN2" s="235"/>
      <c r="FO2" s="235"/>
      <c r="FP2" s="235"/>
      <c r="FQ2" s="235"/>
      <c r="FR2" s="235"/>
      <c r="FS2" s="235"/>
      <c r="FT2" s="235"/>
      <c r="FU2" s="235"/>
      <c r="FV2" s="235"/>
      <c r="FW2" s="235"/>
      <c r="FX2" s="235"/>
      <c r="FY2" s="235"/>
      <c r="FZ2" s="235"/>
      <c r="GA2" s="235"/>
      <c r="GB2" s="235"/>
      <c r="GC2" s="235"/>
      <c r="GD2" s="235"/>
      <c r="GE2" s="235"/>
      <c r="GF2" s="235"/>
      <c r="GG2" s="235"/>
      <c r="GH2" s="235"/>
      <c r="GI2" s="235"/>
      <c r="GJ2" s="235"/>
      <c r="GK2" s="235"/>
      <c r="GL2" s="235"/>
      <c r="GM2" s="235"/>
      <c r="GN2" s="235"/>
      <c r="GO2" s="235"/>
      <c r="GP2" s="235"/>
      <c r="GQ2" s="235"/>
      <c r="GR2" s="235"/>
      <c r="GS2" s="235"/>
      <c r="GT2" s="235"/>
      <c r="GU2" s="235"/>
      <c r="GV2" s="235"/>
      <c r="GW2" s="235"/>
      <c r="GX2" s="235"/>
      <c r="GY2" s="235"/>
      <c r="GZ2" s="235"/>
      <c r="HA2" s="235"/>
      <c r="HB2" s="235"/>
      <c r="HC2" s="235"/>
      <c r="HD2" s="235"/>
      <c r="HE2" s="235"/>
      <c r="HF2" s="235"/>
      <c r="HG2" s="235"/>
      <c r="HH2" s="235"/>
      <c r="HI2" s="235"/>
      <c r="HJ2" s="235"/>
      <c r="HK2" s="235"/>
      <c r="HL2" s="235"/>
      <c r="HM2" s="235"/>
      <c r="HN2" s="235"/>
      <c r="HO2" s="235"/>
      <c r="HP2" s="235"/>
      <c r="HQ2" s="235"/>
      <c r="HR2" s="235"/>
      <c r="HS2" s="235"/>
      <c r="HT2" s="235"/>
      <c r="HU2" s="235"/>
      <c r="HV2" s="235"/>
      <c r="HW2" s="235"/>
      <c r="HX2" s="235"/>
      <c r="HY2" s="235"/>
      <c r="HZ2" s="235"/>
      <c r="IA2" s="235"/>
      <c r="IB2" s="235"/>
      <c r="IC2" s="235"/>
      <c r="ID2" s="235"/>
      <c r="IE2" s="235"/>
      <c r="IF2" s="235"/>
      <c r="IG2" s="235"/>
      <c r="IH2" s="235"/>
      <c r="II2" s="235"/>
      <c r="IJ2" s="235"/>
      <c r="IK2" s="235"/>
      <c r="IL2" s="235"/>
      <c r="IM2" s="235"/>
      <c r="IN2" s="235"/>
      <c r="IO2" s="235"/>
      <c r="IP2" s="235"/>
      <c r="IQ2" s="235"/>
      <c r="IR2" s="235"/>
      <c r="IS2" s="235"/>
      <c r="IT2" s="235"/>
      <c r="IU2" s="235"/>
      <c r="IV2" s="235"/>
      <c r="IW2" s="235"/>
      <c r="IX2" s="235"/>
      <c r="IY2" s="235"/>
      <c r="IZ2" s="235"/>
      <c r="JA2" s="235"/>
      <c r="JB2" s="235"/>
      <c r="JC2" s="235"/>
      <c r="JD2" s="235"/>
      <c r="JE2" s="235"/>
      <c r="JF2" s="235"/>
      <c r="JG2" s="235"/>
      <c r="JH2" s="235"/>
      <c r="JI2" s="235"/>
      <c r="JJ2" s="235"/>
      <c r="JK2" s="235"/>
      <c r="JL2" s="235"/>
      <c r="JM2" s="235"/>
      <c r="JN2" s="235"/>
      <c r="JO2" s="235"/>
      <c r="JP2" s="235"/>
      <c r="JQ2" s="235"/>
      <c r="JR2" s="235"/>
      <c r="JS2" s="235"/>
      <c r="JT2" s="235"/>
      <c r="JU2" s="235"/>
      <c r="JV2" s="235"/>
      <c r="JW2" s="235"/>
      <c r="JX2" s="235"/>
      <c r="JY2" s="235"/>
      <c r="JZ2" s="235"/>
      <c r="KA2" s="235"/>
      <c r="KB2" s="235"/>
      <c r="KC2" s="235"/>
      <c r="KD2" s="235"/>
      <c r="KE2" s="235"/>
      <c r="KF2" s="235"/>
      <c r="KG2" s="235"/>
      <c r="KH2" s="235"/>
      <c r="KI2" s="235"/>
      <c r="KJ2" s="235"/>
      <c r="KK2" s="235"/>
      <c r="KL2" s="235"/>
      <c r="KM2" s="235"/>
      <c r="KN2" s="235"/>
      <c r="KO2" s="235"/>
      <c r="KP2" s="235"/>
      <c r="KQ2" s="235"/>
      <c r="KR2" s="235"/>
      <c r="KS2" s="235"/>
      <c r="KT2" s="235"/>
      <c r="KU2" s="235"/>
      <c r="KV2" s="235"/>
      <c r="KW2" s="235"/>
      <c r="KX2" s="235"/>
      <c r="KY2" s="235"/>
      <c r="KZ2" s="235"/>
      <c r="LA2" s="235"/>
      <c r="LB2" s="235"/>
      <c r="LC2" s="235"/>
      <c r="LD2" s="235"/>
      <c r="LE2" s="235"/>
      <c r="LF2" s="235"/>
      <c r="LG2" s="235"/>
      <c r="LH2" s="235"/>
      <c r="LI2" s="235"/>
      <c r="LJ2" s="235"/>
      <c r="LK2" s="235"/>
      <c r="LL2" s="235"/>
      <c r="LM2" s="235"/>
      <c r="LN2" s="235"/>
      <c r="LO2" s="235"/>
      <c r="LP2" s="235"/>
      <c r="LQ2" s="235"/>
      <c r="LR2" s="235"/>
      <c r="LS2" s="235"/>
      <c r="LT2" s="235"/>
      <c r="LU2" s="235"/>
      <c r="LV2" s="235"/>
      <c r="LW2" s="235"/>
      <c r="LX2" s="235"/>
      <c r="LY2" s="235"/>
      <c r="LZ2" s="235"/>
      <c r="MA2" s="235"/>
      <c r="MB2" s="235"/>
      <c r="MC2" s="235"/>
      <c r="MD2" s="235"/>
      <c r="ME2" s="235"/>
      <c r="MF2" s="235"/>
      <c r="MG2" s="235"/>
      <c r="MH2" s="235"/>
      <c r="MI2" s="235"/>
      <c r="MJ2" s="235"/>
      <c r="MK2" s="235"/>
      <c r="ML2" s="235"/>
      <c r="MM2" s="235"/>
      <c r="MN2" s="235"/>
      <c r="MO2" s="235"/>
      <c r="MP2" s="235"/>
      <c r="MQ2" s="235"/>
      <c r="MR2" s="235"/>
      <c r="MS2" s="235"/>
      <c r="MT2" s="235"/>
      <c r="MU2" s="235"/>
      <c r="MV2" s="235"/>
      <c r="MW2" s="235"/>
      <c r="MX2" s="235"/>
      <c r="MY2" s="235"/>
      <c r="MZ2" s="235"/>
      <c r="NA2" s="235"/>
      <c r="NB2" s="235"/>
      <c r="NC2" s="235"/>
      <c r="ND2" s="235"/>
      <c r="NE2" s="235"/>
      <c r="NF2" s="235"/>
      <c r="NG2" s="235"/>
      <c r="NH2" s="235"/>
      <c r="NI2" s="235"/>
      <c r="NJ2" s="235"/>
      <c r="NK2" s="235"/>
      <c r="NL2" s="235"/>
      <c r="NM2" s="235"/>
      <c r="NN2" s="235"/>
      <c r="NO2" s="235"/>
      <c r="NP2" s="235"/>
      <c r="NQ2" s="235"/>
      <c r="NR2" s="235"/>
      <c r="NS2" s="235"/>
      <c r="NT2" s="235"/>
      <c r="NU2" s="235"/>
      <c r="NV2" s="235"/>
      <c r="NW2" s="235"/>
      <c r="NX2" s="235"/>
      <c r="NY2" s="235"/>
      <c r="NZ2" s="235"/>
      <c r="OA2" s="235"/>
      <c r="OB2" s="235"/>
      <c r="OC2" s="235"/>
      <c r="OD2" s="235"/>
      <c r="OE2" s="235"/>
      <c r="OF2" s="235"/>
      <c r="OG2" s="235"/>
      <c r="OH2" s="235"/>
      <c r="OI2" s="235"/>
      <c r="OJ2" s="235"/>
      <c r="OK2" s="235"/>
      <c r="OL2" s="235"/>
      <c r="OM2" s="235"/>
      <c r="ON2" s="235"/>
      <c r="OO2" s="235"/>
      <c r="OP2" s="235"/>
      <c r="OQ2" s="235"/>
      <c r="OR2" s="235"/>
      <c r="OS2" s="235"/>
      <c r="OT2" s="235"/>
      <c r="OU2" s="235"/>
      <c r="OV2" s="235"/>
      <c r="OW2" s="235"/>
      <c r="OX2" s="235"/>
      <c r="OY2" s="235"/>
      <c r="OZ2" s="235"/>
      <c r="PA2" s="235"/>
      <c r="PB2" s="235"/>
      <c r="PC2" s="235"/>
      <c r="PD2" s="235"/>
      <c r="PE2" s="235"/>
      <c r="PF2" s="235"/>
      <c r="PG2" s="235"/>
      <c r="PH2" s="235"/>
      <c r="PI2" s="235"/>
      <c r="PJ2" s="235"/>
      <c r="PK2" s="235"/>
      <c r="PL2" s="235"/>
      <c r="PM2" s="235"/>
      <c r="PN2" s="235"/>
      <c r="PO2" s="235"/>
      <c r="PP2" s="235"/>
      <c r="PQ2" s="235"/>
      <c r="PR2" s="235"/>
      <c r="PS2" s="235"/>
      <c r="PT2" s="235"/>
      <c r="PU2" s="235"/>
      <c r="PV2" s="235"/>
      <c r="PW2" s="235"/>
      <c r="PX2" s="235"/>
      <c r="PY2" s="235"/>
      <c r="PZ2" s="235"/>
      <c r="QA2" s="235"/>
      <c r="QB2" s="235"/>
      <c r="QC2" s="235"/>
      <c r="QD2" s="235"/>
      <c r="QE2" s="235"/>
      <c r="QF2" s="235"/>
      <c r="QG2" s="235"/>
      <c r="QH2" s="235"/>
      <c r="QI2" s="235"/>
      <c r="QJ2" s="235"/>
      <c r="QK2" s="235"/>
      <c r="QL2" s="235"/>
      <c r="QM2" s="235"/>
      <c r="QN2" s="235"/>
      <c r="QO2" s="235"/>
      <c r="QP2" s="235"/>
      <c r="QQ2" s="235"/>
      <c r="QR2" s="235"/>
      <c r="QS2" s="235"/>
      <c r="QT2" s="235"/>
      <c r="QU2" s="235"/>
      <c r="QV2" s="235"/>
      <c r="QW2" s="235"/>
      <c r="QX2" s="235"/>
      <c r="QY2" s="235"/>
      <c r="QZ2" s="235"/>
      <c r="RA2" s="235"/>
      <c r="RB2" s="235"/>
      <c r="RC2" s="235"/>
      <c r="RD2" s="235"/>
      <c r="RE2" s="235"/>
      <c r="RF2" s="235"/>
      <c r="RG2" s="235"/>
      <c r="RH2" s="235"/>
      <c r="RI2" s="235"/>
      <c r="RJ2" s="235"/>
      <c r="RK2" s="235"/>
      <c r="RL2" s="235"/>
      <c r="RM2" s="235"/>
      <c r="RN2" s="235"/>
      <c r="RO2" s="235"/>
      <c r="RP2" s="235"/>
      <c r="RQ2" s="235"/>
      <c r="RR2" s="235"/>
      <c r="RS2" s="235"/>
      <c r="RT2" s="235"/>
      <c r="RU2" s="235"/>
      <c r="RV2" s="235"/>
      <c r="RW2" s="235"/>
      <c r="RX2" s="235"/>
      <c r="RY2" s="235"/>
      <c r="RZ2" s="235"/>
      <c r="SA2" s="235"/>
      <c r="SB2" s="235"/>
      <c r="SC2" s="235"/>
      <c r="SD2" s="235"/>
      <c r="SE2" s="235"/>
      <c r="SF2" s="235"/>
      <c r="SG2" s="235"/>
      <c r="SH2" s="235"/>
      <c r="SI2" s="235"/>
      <c r="SJ2" s="235"/>
      <c r="SK2" s="235"/>
      <c r="SL2" s="235"/>
      <c r="SM2" s="235"/>
      <c r="SN2" s="235"/>
      <c r="SO2" s="235"/>
      <c r="SP2" s="235"/>
      <c r="SQ2" s="235"/>
      <c r="SR2" s="235"/>
      <c r="SS2" s="235"/>
      <c r="ST2" s="235"/>
      <c r="SU2" s="235"/>
      <c r="SV2" s="235"/>
      <c r="SW2" s="235"/>
      <c r="SX2" s="235"/>
      <c r="SY2" s="235"/>
      <c r="SZ2" s="235"/>
      <c r="TA2" s="235"/>
      <c r="TB2" s="235"/>
      <c r="TC2" s="235"/>
      <c r="TD2" s="235"/>
      <c r="TE2" s="235"/>
      <c r="TF2" s="235"/>
      <c r="TG2" s="235"/>
      <c r="TH2" s="235"/>
      <c r="TI2" s="235"/>
      <c r="TJ2" s="235"/>
      <c r="TK2" s="235"/>
      <c r="TL2" s="235"/>
      <c r="TM2" s="235"/>
      <c r="TN2" s="235"/>
      <c r="TO2" s="235"/>
      <c r="TP2" s="235"/>
      <c r="TQ2" s="235"/>
      <c r="TR2" s="235"/>
      <c r="TS2" s="235"/>
      <c r="TT2" s="235"/>
      <c r="TU2" s="235"/>
      <c r="TV2" s="235"/>
      <c r="TW2" s="235"/>
      <c r="TX2" s="235"/>
      <c r="TY2" s="235"/>
      <c r="TZ2" s="235"/>
      <c r="UA2" s="235"/>
      <c r="UB2" s="235"/>
      <c r="UC2" s="235"/>
      <c r="UD2" s="235"/>
      <c r="UE2" s="235"/>
      <c r="UF2" s="235"/>
      <c r="UG2" s="235"/>
      <c r="UH2" s="235"/>
      <c r="UI2" s="235"/>
      <c r="UJ2" s="235"/>
      <c r="UK2" s="235"/>
      <c r="UL2" s="235"/>
      <c r="UM2" s="235"/>
      <c r="UN2" s="235"/>
      <c r="UO2" s="235"/>
      <c r="UP2" s="235"/>
      <c r="UQ2" s="235"/>
      <c r="UR2" s="235"/>
      <c r="US2" s="235"/>
      <c r="UT2" s="235"/>
      <c r="UU2" s="235"/>
      <c r="UV2" s="235"/>
      <c r="UW2" s="235"/>
      <c r="UX2" s="235"/>
      <c r="UY2" s="235"/>
      <c r="UZ2" s="235"/>
      <c r="VA2" s="235"/>
      <c r="VB2" s="235"/>
      <c r="VC2" s="235"/>
      <c r="VD2" s="235"/>
      <c r="VE2" s="235"/>
      <c r="VF2" s="235"/>
      <c r="VG2" s="235"/>
      <c r="VH2" s="235"/>
      <c r="VI2" s="235"/>
      <c r="VJ2" s="235"/>
      <c r="VK2" s="235"/>
      <c r="VL2" s="235"/>
      <c r="VM2" s="235"/>
      <c r="VN2" s="235"/>
      <c r="VO2" s="235"/>
      <c r="VP2" s="235"/>
      <c r="VQ2" s="235"/>
      <c r="VR2" s="235"/>
      <c r="VS2" s="235"/>
      <c r="VT2" s="235"/>
      <c r="VU2" s="235"/>
      <c r="VV2" s="235"/>
      <c r="VW2" s="235"/>
      <c r="VX2" s="235"/>
      <c r="VY2" s="235"/>
      <c r="VZ2" s="235"/>
      <c r="WA2" s="235"/>
      <c r="WB2" s="235"/>
      <c r="WC2" s="235"/>
      <c r="WD2" s="235"/>
      <c r="WE2" s="235"/>
      <c r="WF2" s="235"/>
      <c r="WG2" s="235"/>
      <c r="WH2" s="235"/>
      <c r="WI2" s="235"/>
      <c r="WJ2" s="235"/>
      <c r="WK2" s="235"/>
      <c r="WL2" s="235"/>
      <c r="WM2" s="235"/>
      <c r="WN2" s="235"/>
      <c r="WO2" s="235"/>
      <c r="WP2" s="235"/>
      <c r="WQ2" s="235"/>
      <c r="WR2" s="235"/>
      <c r="WS2" s="235"/>
      <c r="WT2" s="235"/>
      <c r="WU2" s="235"/>
      <c r="WV2" s="235"/>
      <c r="WW2" s="235"/>
      <c r="WX2" s="235"/>
      <c r="WY2" s="235"/>
      <c r="WZ2" s="235"/>
      <c r="XA2" s="235"/>
      <c r="XB2" s="235"/>
      <c r="XC2" s="235"/>
      <c r="XD2" s="235"/>
      <c r="XE2" s="235"/>
      <c r="XF2" s="235"/>
      <c r="XG2" s="235"/>
      <c r="XH2" s="235"/>
      <c r="XI2" s="235"/>
      <c r="XJ2" s="235"/>
      <c r="XK2" s="235"/>
      <c r="XL2" s="235"/>
      <c r="XM2" s="235"/>
      <c r="XN2" s="235"/>
      <c r="XO2" s="235"/>
      <c r="XP2" s="235"/>
      <c r="XQ2" s="235"/>
      <c r="XR2" s="235"/>
      <c r="XS2" s="235"/>
      <c r="XT2" s="235"/>
      <c r="XU2" s="235"/>
      <c r="XV2" s="235"/>
      <c r="XW2" s="235"/>
      <c r="XX2" s="235"/>
      <c r="XY2" s="235"/>
      <c r="XZ2" s="235"/>
      <c r="YA2" s="235"/>
      <c r="YB2" s="235"/>
      <c r="YC2" s="235"/>
      <c r="YD2" s="235"/>
      <c r="YE2" s="235"/>
      <c r="YF2" s="235"/>
      <c r="YG2" s="235"/>
      <c r="YH2" s="235"/>
      <c r="YI2" s="235"/>
      <c r="YJ2" s="235"/>
      <c r="YK2" s="235"/>
      <c r="YL2" s="235"/>
      <c r="YM2" s="235"/>
      <c r="YN2" s="235"/>
      <c r="YO2" s="235"/>
      <c r="YP2" s="235"/>
      <c r="YQ2" s="235"/>
      <c r="YR2" s="235"/>
      <c r="YS2" s="235"/>
      <c r="YT2" s="235"/>
      <c r="YU2" s="235"/>
      <c r="YV2" s="235"/>
      <c r="YW2" s="235"/>
      <c r="YX2" s="235"/>
      <c r="YY2" s="235"/>
      <c r="YZ2" s="235"/>
      <c r="ZA2" s="235"/>
      <c r="ZB2" s="235"/>
      <c r="ZC2" s="235"/>
      <c r="ZD2" s="235"/>
      <c r="ZE2" s="235"/>
      <c r="ZF2" s="235"/>
      <c r="ZG2" s="235"/>
      <c r="ZH2" s="235"/>
      <c r="ZI2" s="235"/>
      <c r="ZJ2" s="235"/>
      <c r="ZK2" s="235"/>
      <c r="ZL2" s="235"/>
      <c r="ZM2" s="235"/>
      <c r="ZN2" s="235"/>
      <c r="ZO2" s="235"/>
      <c r="ZP2" s="235"/>
      <c r="ZQ2" s="235"/>
      <c r="ZR2" s="235"/>
      <c r="ZS2" s="235"/>
      <c r="ZT2" s="235"/>
      <c r="ZU2" s="235"/>
      <c r="ZV2" s="235"/>
      <c r="ZW2" s="235"/>
      <c r="ZX2" s="235"/>
      <c r="ZY2" s="235"/>
      <c r="ZZ2" s="235"/>
      <c r="AAA2" s="235"/>
      <c r="AAB2" s="235"/>
      <c r="AAC2" s="235"/>
      <c r="AAD2" s="235"/>
      <c r="AAE2" s="235"/>
      <c r="AAF2" s="235"/>
      <c r="AAG2" s="235"/>
      <c r="AAH2" s="235"/>
      <c r="AAI2" s="235"/>
      <c r="AAJ2" s="235"/>
      <c r="AAK2" s="235"/>
      <c r="AAL2" s="235"/>
      <c r="AAM2" s="235"/>
      <c r="AAN2" s="235"/>
      <c r="AAO2" s="235"/>
      <c r="AAP2" s="235"/>
      <c r="AAQ2" s="235"/>
      <c r="AAR2" s="235"/>
      <c r="AAS2" s="235"/>
      <c r="AAT2" s="235"/>
      <c r="AAU2" s="235"/>
      <c r="AAV2" s="235"/>
      <c r="AAW2" s="235"/>
      <c r="AAX2" s="235"/>
      <c r="AAY2" s="235"/>
      <c r="AAZ2" s="235"/>
      <c r="ABA2" s="235"/>
      <c r="ABB2" s="235"/>
      <c r="ABC2" s="235"/>
      <c r="ABD2" s="235"/>
      <c r="ABE2" s="235"/>
      <c r="ABF2" s="235"/>
      <c r="ABG2" s="235"/>
      <c r="ABH2" s="235"/>
      <c r="ABI2" s="235"/>
      <c r="ABJ2" s="235"/>
      <c r="ABK2" s="235"/>
      <c r="ABL2" s="235"/>
      <c r="ABM2" s="235"/>
      <c r="ABN2" s="235"/>
      <c r="ABO2" s="235"/>
      <c r="ABP2" s="235"/>
      <c r="ABQ2" s="235"/>
      <c r="ABR2" s="235"/>
      <c r="ABS2" s="235"/>
      <c r="ABT2" s="235"/>
      <c r="ABU2" s="235"/>
      <c r="ABV2" s="235"/>
      <c r="ABW2" s="235"/>
      <c r="ABX2" s="235"/>
      <c r="ABY2" s="235"/>
      <c r="ABZ2" s="235"/>
      <c r="ACA2" s="235"/>
      <c r="ACB2" s="235"/>
      <c r="ACC2" s="235"/>
      <c r="ACD2" s="235"/>
      <c r="ACE2" s="235"/>
      <c r="ACF2" s="235"/>
      <c r="ACG2" s="235"/>
      <c r="ACH2" s="235"/>
      <c r="ACI2" s="235"/>
      <c r="ACJ2" s="235"/>
      <c r="ACK2" s="235"/>
      <c r="ACL2" s="235"/>
      <c r="ACM2" s="235"/>
      <c r="ACN2" s="235"/>
      <c r="ACO2" s="235"/>
      <c r="ACP2" s="235"/>
      <c r="ACQ2" s="235"/>
      <c r="ACR2" s="235"/>
      <c r="ACS2" s="235"/>
      <c r="ACT2" s="235"/>
      <c r="ACU2" s="235"/>
      <c r="ACV2" s="235"/>
      <c r="ACW2" s="235"/>
      <c r="ACX2" s="235"/>
      <c r="ACY2" s="235"/>
      <c r="ACZ2" s="235"/>
      <c r="ADA2" s="235"/>
      <c r="ADB2" s="235"/>
      <c r="ADC2" s="235"/>
      <c r="ADD2" s="235"/>
      <c r="ADE2" s="235"/>
      <c r="ADF2" s="235"/>
      <c r="ADG2" s="235"/>
      <c r="ADH2" s="235"/>
      <c r="ADI2" s="235"/>
      <c r="ADJ2" s="235"/>
      <c r="ADK2" s="235"/>
      <c r="ADL2" s="235"/>
      <c r="ADM2" s="235"/>
      <c r="ADN2" s="235"/>
      <c r="ADO2" s="235"/>
      <c r="ADP2" s="235"/>
      <c r="ADQ2" s="235"/>
      <c r="ADR2" s="235"/>
      <c r="ADS2" s="235"/>
      <c r="ADT2" s="235"/>
      <c r="ADU2" s="235"/>
      <c r="ADV2" s="235"/>
      <c r="ADW2" s="235"/>
      <c r="ADX2" s="235"/>
      <c r="ADY2" s="235"/>
      <c r="ADZ2" s="235"/>
      <c r="AEA2" s="235"/>
      <c r="AEB2" s="235"/>
      <c r="AEC2" s="235"/>
      <c r="AED2" s="235"/>
      <c r="AEE2" s="235"/>
      <c r="AEF2" s="235"/>
      <c r="AEG2" s="235"/>
      <c r="AEH2" s="235"/>
      <c r="AEI2" s="235"/>
      <c r="AEJ2" s="235"/>
      <c r="AEK2" s="235"/>
      <c r="AEL2" s="235"/>
      <c r="AEM2" s="235"/>
      <c r="AEN2" s="235"/>
      <c r="AEO2" s="235"/>
      <c r="AEP2" s="235"/>
      <c r="AEQ2" s="235"/>
      <c r="AER2" s="235"/>
      <c r="AES2" s="235"/>
      <c r="AET2" s="235"/>
      <c r="AEU2" s="235"/>
      <c r="AEV2" s="235"/>
      <c r="AEW2" s="235"/>
      <c r="AEX2" s="235"/>
      <c r="AEY2" s="235"/>
      <c r="AEZ2" s="235"/>
      <c r="AFA2" s="235"/>
      <c r="AFB2" s="235"/>
      <c r="AFC2" s="235"/>
      <c r="AFD2" s="235"/>
      <c r="AFE2" s="235"/>
      <c r="AFF2" s="235"/>
      <c r="AFG2" s="235"/>
      <c r="AFH2" s="235"/>
      <c r="AFI2" s="235"/>
      <c r="AFJ2" s="235"/>
      <c r="AFK2" s="235"/>
      <c r="AFL2" s="235"/>
      <c r="AFM2" s="235"/>
      <c r="AFN2" s="235"/>
      <c r="AFO2" s="235"/>
      <c r="AFP2" s="235"/>
      <c r="AFQ2" s="235"/>
      <c r="AFR2" s="235"/>
      <c r="AFS2" s="235"/>
      <c r="AFT2" s="235"/>
      <c r="AFU2" s="235"/>
      <c r="AFV2" s="235"/>
      <c r="AFW2" s="235"/>
      <c r="AFX2" s="235"/>
      <c r="AFY2" s="235"/>
      <c r="AFZ2" s="235"/>
      <c r="AGA2" s="235"/>
      <c r="AGB2" s="235"/>
      <c r="AGC2" s="235"/>
      <c r="AGD2" s="235"/>
      <c r="AGE2" s="235"/>
      <c r="AGF2" s="235"/>
      <c r="AGG2" s="235"/>
      <c r="AGH2" s="235"/>
      <c r="AGI2" s="235"/>
      <c r="AGJ2" s="235"/>
      <c r="AGK2" s="235"/>
      <c r="AGL2" s="235"/>
      <c r="AGM2" s="235"/>
      <c r="AGN2" s="235"/>
      <c r="AGO2" s="235"/>
      <c r="AGP2" s="235"/>
      <c r="AGQ2" s="235"/>
      <c r="AGR2" s="235"/>
      <c r="AGS2" s="235"/>
      <c r="AGT2" s="235"/>
      <c r="AGU2" s="235"/>
      <c r="AGV2" s="235"/>
      <c r="AGW2" s="235"/>
      <c r="AGX2" s="235"/>
      <c r="AGY2" s="235"/>
      <c r="AGZ2" s="235"/>
      <c r="AHA2" s="235"/>
      <c r="AHB2" s="235"/>
      <c r="AHC2" s="235"/>
      <c r="AHD2" s="235"/>
      <c r="AHE2" s="235"/>
      <c r="AHF2" s="235"/>
      <c r="AHG2" s="235"/>
      <c r="AHH2" s="235"/>
      <c r="AHI2" s="235"/>
      <c r="AHJ2" s="235"/>
      <c r="AHK2" s="235"/>
      <c r="AHL2" s="235"/>
      <c r="AHM2" s="235"/>
      <c r="AHN2" s="235"/>
      <c r="AHO2" s="235"/>
      <c r="AHP2" s="235"/>
      <c r="AHQ2" s="235"/>
      <c r="AHR2" s="235"/>
      <c r="AHS2" s="235"/>
      <c r="AHT2" s="235"/>
      <c r="AHU2" s="235"/>
      <c r="AHV2" s="235"/>
      <c r="AHW2" s="235"/>
      <c r="AHX2" s="235"/>
      <c r="AHY2" s="235"/>
      <c r="AHZ2" s="235"/>
      <c r="AIA2" s="235"/>
      <c r="AIB2" s="235"/>
      <c r="AIC2" s="235"/>
      <c r="AID2" s="235"/>
      <c r="AIE2" s="235"/>
      <c r="AIF2" s="235"/>
      <c r="AIG2" s="235"/>
      <c r="AIH2" s="235"/>
      <c r="AII2" s="235"/>
      <c r="AIJ2" s="235"/>
      <c r="AIK2" s="235"/>
      <c r="AIL2" s="235"/>
      <c r="AIM2" s="235"/>
      <c r="AIN2" s="235"/>
      <c r="AIO2" s="235"/>
      <c r="AIP2" s="235"/>
      <c r="AIQ2" s="235"/>
      <c r="AIR2" s="235"/>
      <c r="AIS2" s="235"/>
      <c r="AIT2" s="235"/>
      <c r="AIU2" s="235"/>
      <c r="AIV2" s="235"/>
      <c r="AIW2" s="235"/>
      <c r="AIX2" s="235"/>
      <c r="AIY2" s="235"/>
      <c r="AIZ2" s="235"/>
      <c r="AJA2" s="235"/>
      <c r="AJB2" s="235"/>
      <c r="AJC2" s="235"/>
      <c r="AJD2" s="235"/>
      <c r="AJE2" s="235"/>
      <c r="AJF2" s="235"/>
      <c r="AJG2" s="235"/>
      <c r="AJH2" s="235"/>
      <c r="AJI2" s="235"/>
      <c r="AJJ2" s="235"/>
      <c r="AJK2" s="235"/>
      <c r="AJL2" s="235"/>
      <c r="AJM2" s="235"/>
      <c r="AJN2" s="235"/>
      <c r="AJO2" s="235"/>
      <c r="AJP2" s="235"/>
      <c r="AJQ2" s="235"/>
      <c r="AJR2" s="235"/>
      <c r="AJS2" s="235"/>
      <c r="AJT2" s="235"/>
      <c r="AJU2" s="235"/>
      <c r="AJV2" s="235"/>
      <c r="AJW2" s="235"/>
      <c r="AJX2" s="235"/>
      <c r="AJY2" s="235"/>
      <c r="AJZ2" s="235"/>
      <c r="AKA2" s="235"/>
      <c r="AKB2" s="235"/>
      <c r="AKC2" s="235"/>
      <c r="AKD2" s="235"/>
      <c r="AKE2" s="235"/>
      <c r="AKF2" s="235"/>
      <c r="AKG2" s="235"/>
      <c r="AKH2" s="235"/>
      <c r="AKI2" s="235"/>
      <c r="AKJ2" s="235"/>
      <c r="AKK2" s="235"/>
      <c r="AKL2" s="235"/>
      <c r="AKM2" s="235"/>
      <c r="AKN2" s="235"/>
      <c r="AKO2" s="235"/>
      <c r="AKP2" s="235"/>
      <c r="AKQ2" s="235"/>
      <c r="AKR2" s="235"/>
      <c r="AKS2" s="235"/>
      <c r="AKT2" s="235"/>
      <c r="AKU2" s="235"/>
      <c r="AKV2" s="235"/>
      <c r="AKW2" s="235"/>
      <c r="AKX2" s="235"/>
      <c r="AKY2" s="235"/>
      <c r="AKZ2" s="235"/>
      <c r="ALA2" s="235"/>
      <c r="ALB2" s="235"/>
      <c r="ALC2" s="235"/>
      <c r="ALD2" s="235"/>
      <c r="ALE2" s="235"/>
      <c r="ALF2" s="235"/>
      <c r="ALG2" s="235"/>
    </row>
    <row r="3" spans="1:995" ht="16.5" customHeight="1" x14ac:dyDescent="0.2">
      <c r="A3" s="237"/>
      <c r="B3" s="240"/>
      <c r="C3" s="240"/>
      <c r="D3" s="240"/>
      <c r="E3" s="240"/>
      <c r="F3" s="240"/>
      <c r="G3" s="237"/>
      <c r="H3" s="237"/>
    </row>
    <row r="4" spans="1:995" ht="25.5" x14ac:dyDescent="0.2">
      <c r="A4" s="240"/>
      <c r="B4" s="296" t="s">
        <v>2</v>
      </c>
      <c r="C4" s="296"/>
      <c r="D4" s="296"/>
      <c r="E4" s="296"/>
      <c r="F4" s="296"/>
      <c r="G4" s="240"/>
      <c r="H4" s="240"/>
    </row>
    <row r="5" spans="1:995" ht="15.75" customHeight="1" x14ac:dyDescent="0.2">
      <c r="A5" s="240"/>
      <c r="B5" s="294" t="s">
        <v>3</v>
      </c>
      <c r="C5" s="294"/>
      <c r="D5" s="294"/>
      <c r="E5" s="294"/>
      <c r="F5" s="294"/>
      <c r="G5" s="240"/>
      <c r="H5" s="240"/>
    </row>
    <row r="6" spans="1:995" ht="15.75" customHeight="1" x14ac:dyDescent="0.2">
      <c r="A6" s="240"/>
      <c r="B6" s="282" t="s">
        <v>4</v>
      </c>
      <c r="C6" s="282"/>
      <c r="D6" s="297" t="s">
        <v>314</v>
      </c>
      <c r="E6" s="297"/>
      <c r="F6" s="297"/>
      <c r="G6" s="240"/>
      <c r="H6" s="240"/>
    </row>
    <row r="7" spans="1:995" ht="15.75" customHeight="1" x14ac:dyDescent="0.2">
      <c r="A7" s="240"/>
      <c r="B7" s="286" t="s">
        <v>5</v>
      </c>
      <c r="C7" s="286"/>
      <c r="D7" s="292" t="s">
        <v>6</v>
      </c>
      <c r="E7" s="292"/>
      <c r="F7" s="241" t="s">
        <v>313</v>
      </c>
      <c r="G7" s="240"/>
      <c r="H7" s="240"/>
    </row>
    <row r="8" spans="1:995" ht="15.75" customHeight="1" x14ac:dyDescent="0.2">
      <c r="A8" s="240"/>
      <c r="B8" s="282" t="s">
        <v>8</v>
      </c>
      <c r="C8" s="282"/>
      <c r="D8" s="293" t="s">
        <v>1</v>
      </c>
      <c r="E8" s="293"/>
      <c r="F8" s="241" t="s">
        <v>9</v>
      </c>
      <c r="G8" s="240"/>
      <c r="H8" s="240"/>
    </row>
    <row r="9" spans="1:995" ht="9.75" customHeight="1" x14ac:dyDescent="0.2">
      <c r="A9" s="240"/>
      <c r="B9" s="240"/>
      <c r="C9" s="242"/>
      <c r="D9" s="243"/>
      <c r="E9" s="243"/>
      <c r="F9" s="244"/>
      <c r="G9" s="240"/>
      <c r="H9" s="240"/>
    </row>
    <row r="10" spans="1:995" ht="15.75" customHeight="1" x14ac:dyDescent="0.2">
      <c r="A10" s="240"/>
      <c r="B10" s="294" t="s">
        <v>10</v>
      </c>
      <c r="C10" s="294"/>
      <c r="D10" s="294"/>
      <c r="E10" s="294"/>
      <c r="F10" s="294"/>
      <c r="G10" s="240"/>
      <c r="H10" s="240"/>
    </row>
    <row r="11" spans="1:995" ht="18" customHeight="1" x14ac:dyDescent="0.2">
      <c r="A11" s="240"/>
      <c r="B11" s="5" t="s">
        <v>11</v>
      </c>
      <c r="C11" s="282" t="s">
        <v>12</v>
      </c>
      <c r="D11" s="282"/>
      <c r="E11" s="282"/>
      <c r="F11" s="245" t="s">
        <v>1</v>
      </c>
      <c r="G11" s="240"/>
      <c r="H11" s="240"/>
    </row>
    <row r="12" spans="1:995" ht="15.75" customHeight="1" x14ac:dyDescent="0.2">
      <c r="A12" s="240"/>
      <c r="B12" s="5" t="s">
        <v>13</v>
      </c>
      <c r="C12" s="6" t="s">
        <v>14</v>
      </c>
      <c r="D12" s="291" t="s">
        <v>316</v>
      </c>
      <c r="E12" s="291"/>
      <c r="F12" s="291"/>
      <c r="G12" s="240"/>
      <c r="H12" s="240"/>
    </row>
    <row r="13" spans="1:995" ht="15.75" customHeight="1" x14ac:dyDescent="0.2">
      <c r="A13" s="240"/>
      <c r="B13" s="5" t="s">
        <v>15</v>
      </c>
      <c r="C13" s="282" t="s">
        <v>16</v>
      </c>
      <c r="D13" s="282"/>
      <c r="E13" s="282"/>
      <c r="F13" s="7" t="s">
        <v>315</v>
      </c>
      <c r="G13" s="240"/>
      <c r="H13" s="240"/>
    </row>
    <row r="14" spans="1:995" ht="18.75" customHeight="1" x14ac:dyDescent="0.2">
      <c r="A14" s="240"/>
      <c r="B14" s="5" t="s">
        <v>17</v>
      </c>
      <c r="C14" s="266" t="s">
        <v>18</v>
      </c>
      <c r="D14" s="266"/>
      <c r="E14" s="266"/>
      <c r="F14" s="241" t="s">
        <v>7</v>
      </c>
      <c r="G14" s="240"/>
      <c r="H14" s="240"/>
    </row>
    <row r="15" spans="1:995" ht="15.75" customHeight="1" x14ac:dyDescent="0.2">
      <c r="A15" s="240"/>
      <c r="B15" s="5" t="s">
        <v>19</v>
      </c>
      <c r="C15" s="282" t="s">
        <v>20</v>
      </c>
      <c r="D15" s="282"/>
      <c r="E15" s="282"/>
      <c r="F15" s="28">
        <v>12</v>
      </c>
      <c r="G15" s="240"/>
      <c r="H15" s="240"/>
    </row>
    <row r="16" spans="1:995" ht="15.75" customHeight="1" x14ac:dyDescent="0.2">
      <c r="A16" s="240"/>
      <c r="B16" s="240"/>
      <c r="C16" s="242"/>
      <c r="D16" s="243"/>
      <c r="E16" s="243"/>
      <c r="F16" s="244"/>
      <c r="G16" s="240"/>
      <c r="H16" s="240"/>
    </row>
    <row r="17" spans="1:8" ht="21" customHeight="1" x14ac:dyDescent="0.2">
      <c r="A17" s="240"/>
      <c r="B17" s="287" t="s">
        <v>21</v>
      </c>
      <c r="C17" s="287"/>
      <c r="D17" s="287"/>
      <c r="E17" s="287"/>
      <c r="F17" s="287"/>
      <c r="G17" s="287"/>
      <c r="H17" s="287"/>
    </row>
    <row r="18" spans="1:8" ht="35.25" customHeight="1" x14ac:dyDescent="0.2">
      <c r="A18" s="240"/>
      <c r="B18" s="288"/>
      <c r="C18" s="288"/>
      <c r="D18" s="288"/>
      <c r="E18" s="246"/>
      <c r="F18" s="9" t="s">
        <v>22</v>
      </c>
      <c r="G18" s="10" t="s">
        <v>23</v>
      </c>
      <c r="H18" s="11" t="s">
        <v>24</v>
      </c>
    </row>
    <row r="19" spans="1:8" ht="30" customHeight="1" x14ac:dyDescent="0.2">
      <c r="A19" s="240"/>
      <c r="B19" s="288"/>
      <c r="C19" s="288"/>
      <c r="D19" s="288"/>
      <c r="E19" s="12" t="s">
        <v>25</v>
      </c>
      <c r="F19" s="13">
        <v>1</v>
      </c>
      <c r="G19" s="14">
        <v>1</v>
      </c>
      <c r="H19" s="15">
        <v>1</v>
      </c>
    </row>
    <row r="20" spans="1:8" ht="25.5" customHeight="1" x14ac:dyDescent="0.2">
      <c r="A20" s="16"/>
      <c r="B20" s="17" t="s">
        <v>26</v>
      </c>
      <c r="C20" s="284" t="s">
        <v>27</v>
      </c>
      <c r="D20" s="284"/>
      <c r="E20" s="18" t="s">
        <v>28</v>
      </c>
      <c r="F20" s="19" t="s">
        <v>29</v>
      </c>
      <c r="G20" s="19" t="s">
        <v>29</v>
      </c>
      <c r="H20" s="19" t="s">
        <v>29</v>
      </c>
    </row>
    <row r="21" spans="1:8" ht="16.5" customHeight="1" x14ac:dyDescent="0.2">
      <c r="A21" s="240"/>
      <c r="B21" s="5">
        <v>1</v>
      </c>
      <c r="C21" s="289" t="s">
        <v>30</v>
      </c>
      <c r="D21" s="289" t="s">
        <v>31</v>
      </c>
      <c r="E21" s="20" t="s">
        <v>31</v>
      </c>
      <c r="F21" s="21">
        <v>2</v>
      </c>
      <c r="G21" s="22">
        <v>2</v>
      </c>
      <c r="H21" s="23">
        <v>2</v>
      </c>
    </row>
    <row r="22" spans="1:8" ht="16.5" customHeight="1" x14ac:dyDescent="0.2">
      <c r="A22" s="240"/>
      <c r="B22" s="5"/>
      <c r="C22" s="289"/>
      <c r="D22" s="289" t="s">
        <v>32</v>
      </c>
      <c r="E22" s="20" t="s">
        <v>32</v>
      </c>
      <c r="F22" s="21">
        <v>1</v>
      </c>
      <c r="G22" s="22">
        <v>0</v>
      </c>
      <c r="H22" s="23">
        <v>1</v>
      </c>
    </row>
    <row r="23" spans="1:8" ht="16.5" customHeight="1" x14ac:dyDescent="0.2">
      <c r="A23" s="240"/>
      <c r="B23" s="5"/>
      <c r="C23" s="289"/>
      <c r="D23" s="289" t="s">
        <v>33</v>
      </c>
      <c r="E23" s="20" t="s">
        <v>33</v>
      </c>
      <c r="F23" s="21">
        <v>0</v>
      </c>
      <c r="G23" s="22">
        <v>0</v>
      </c>
      <c r="H23" s="23">
        <v>1</v>
      </c>
    </row>
    <row r="24" spans="1:8" ht="15.75" customHeight="1" x14ac:dyDescent="0.2">
      <c r="A24" s="240"/>
      <c r="B24" s="290" t="s">
        <v>34</v>
      </c>
      <c r="C24" s="290"/>
      <c r="D24" s="290"/>
      <c r="E24" s="290"/>
      <c r="F24" s="24" t="s">
        <v>35</v>
      </c>
      <c r="G24" s="25" t="s">
        <v>35</v>
      </c>
      <c r="H24" s="26" t="s">
        <v>35</v>
      </c>
    </row>
    <row r="25" spans="1:8" ht="15" customHeight="1" x14ac:dyDescent="0.2">
      <c r="A25" s="240"/>
      <c r="B25" s="234"/>
      <c r="C25" s="234"/>
      <c r="D25" s="234"/>
      <c r="E25" s="234"/>
      <c r="F25" s="234"/>
      <c r="G25" s="234"/>
      <c r="H25" s="234"/>
    </row>
    <row r="26" spans="1:8" ht="15" customHeight="1" x14ac:dyDescent="0.2">
      <c r="A26" s="240"/>
      <c r="B26" s="284" t="s">
        <v>36</v>
      </c>
      <c r="C26" s="284"/>
      <c r="D26" s="284"/>
      <c r="E26" s="284"/>
      <c r="F26" s="284"/>
      <c r="G26" s="284"/>
      <c r="H26" s="284"/>
    </row>
    <row r="27" spans="1:8" ht="15.75" customHeight="1" x14ac:dyDescent="0.2">
      <c r="A27" s="240"/>
      <c r="B27" s="5">
        <v>1</v>
      </c>
      <c r="C27" s="285" t="s">
        <v>37</v>
      </c>
      <c r="D27" s="285"/>
      <c r="E27" s="285"/>
      <c r="F27" s="29" t="s">
        <v>38</v>
      </c>
      <c r="G27" s="30" t="s">
        <v>39</v>
      </c>
      <c r="H27" s="31" t="s">
        <v>40</v>
      </c>
    </row>
    <row r="28" spans="1:8" ht="15.75" customHeight="1" x14ac:dyDescent="0.2">
      <c r="A28" s="240"/>
      <c r="B28" s="5">
        <v>2</v>
      </c>
      <c r="C28" s="286" t="s">
        <v>41</v>
      </c>
      <c r="D28" s="286"/>
      <c r="E28" s="286"/>
      <c r="F28" s="247"/>
      <c r="G28" s="32"/>
      <c r="H28" s="33"/>
    </row>
    <row r="29" spans="1:8" ht="15.75" customHeight="1" x14ac:dyDescent="0.2">
      <c r="A29" s="240"/>
      <c r="B29" s="5">
        <v>3</v>
      </c>
      <c r="C29" s="282" t="s">
        <v>42</v>
      </c>
      <c r="D29" s="282"/>
      <c r="E29" s="282"/>
      <c r="F29" s="248" t="s">
        <v>43</v>
      </c>
      <c r="G29" s="249" t="s">
        <v>43</v>
      </c>
      <c r="H29" s="250" t="s">
        <v>43</v>
      </c>
    </row>
    <row r="30" spans="1:8" ht="16.5" customHeight="1" x14ac:dyDescent="0.2">
      <c r="A30" s="240"/>
      <c r="B30" s="5">
        <v>4</v>
      </c>
      <c r="C30" s="286" t="s">
        <v>44</v>
      </c>
      <c r="D30" s="286"/>
      <c r="E30" s="286"/>
      <c r="F30" s="34">
        <v>1518</v>
      </c>
      <c r="G30" s="35">
        <v>1518</v>
      </c>
      <c r="H30" s="36">
        <v>1518</v>
      </c>
    </row>
    <row r="31" spans="1:8" ht="16.5" customHeight="1" x14ac:dyDescent="0.2">
      <c r="A31" s="240"/>
      <c r="B31" s="251"/>
      <c r="C31" s="252"/>
      <c r="D31" s="252"/>
      <c r="E31" s="252"/>
      <c r="F31" s="253"/>
      <c r="G31" s="253"/>
      <c r="H31" s="253"/>
    </row>
    <row r="32" spans="1:8" ht="33" customHeight="1" x14ac:dyDescent="0.2">
      <c r="A32" s="237"/>
      <c r="B32" s="100" t="s">
        <v>45</v>
      </c>
      <c r="C32" s="237"/>
      <c r="D32" s="237"/>
      <c r="E32" s="237"/>
      <c r="F32" s="237"/>
      <c r="G32" s="237"/>
      <c r="H32" s="237"/>
    </row>
    <row r="33" spans="1:8" ht="16.5" customHeight="1" x14ac:dyDescent="0.2">
      <c r="A33" s="237"/>
      <c r="B33" s="254" t="s">
        <v>46</v>
      </c>
      <c r="C33" s="237"/>
      <c r="D33" s="237"/>
      <c r="E33" s="255"/>
      <c r="F33" s="255"/>
      <c r="G33" s="255"/>
      <c r="H33" s="255"/>
    </row>
    <row r="34" spans="1:8" ht="16.5" customHeight="1" x14ac:dyDescent="0.2">
      <c r="A34" s="237"/>
      <c r="B34" s="5">
        <v>1</v>
      </c>
      <c r="C34" s="277" t="s">
        <v>47</v>
      </c>
      <c r="D34" s="277"/>
      <c r="E34" s="277"/>
      <c r="F34" s="40" t="s">
        <v>48</v>
      </c>
      <c r="G34" s="40" t="s">
        <v>48</v>
      </c>
      <c r="H34" s="40" t="s">
        <v>48</v>
      </c>
    </row>
    <row r="35" spans="1:8" ht="16.5" customHeight="1" x14ac:dyDescent="0.2">
      <c r="A35" s="237"/>
      <c r="B35" s="5" t="s">
        <v>11</v>
      </c>
      <c r="C35" s="279" t="s">
        <v>49</v>
      </c>
      <c r="D35" s="279"/>
      <c r="E35" s="279"/>
      <c r="F35" s="34">
        <f>1500+1500*6.77%</f>
        <v>1601.55</v>
      </c>
      <c r="G35" s="35">
        <f>2249.99+2249.99*6.77%</f>
        <v>2402.3143229999996</v>
      </c>
      <c r="H35" s="41">
        <f>1500+1500*6.77%</f>
        <v>1601.55</v>
      </c>
    </row>
    <row r="36" spans="1:8" ht="16.5" customHeight="1" x14ac:dyDescent="0.2">
      <c r="A36" s="237"/>
      <c r="B36" s="5" t="s">
        <v>13</v>
      </c>
      <c r="C36" s="266" t="s">
        <v>50</v>
      </c>
      <c r="D36" s="266"/>
      <c r="E36" s="266"/>
      <c r="F36" s="42">
        <v>0</v>
      </c>
      <c r="G36" s="43">
        <v>0</v>
      </c>
      <c r="H36" s="44">
        <v>0</v>
      </c>
    </row>
    <row r="37" spans="1:8" ht="16.5" customHeight="1" x14ac:dyDescent="0.2">
      <c r="A37" s="237"/>
      <c r="B37" s="5" t="s">
        <v>15</v>
      </c>
      <c r="C37" s="279" t="s">
        <v>51</v>
      </c>
      <c r="D37" s="279"/>
      <c r="E37" s="279"/>
      <c r="F37" s="42">
        <v>0</v>
      </c>
      <c r="G37" s="43">
        <v>0</v>
      </c>
      <c r="H37" s="44">
        <v>0</v>
      </c>
    </row>
    <row r="38" spans="1:8" ht="16.5" customHeight="1" x14ac:dyDescent="0.2">
      <c r="A38" s="237"/>
      <c r="B38" s="5" t="s">
        <v>17</v>
      </c>
      <c r="C38" s="283" t="s">
        <v>52</v>
      </c>
      <c r="D38" s="283"/>
      <c r="E38" s="283"/>
      <c r="F38" s="42">
        <v>0</v>
      </c>
      <c r="G38" s="43">
        <v>0</v>
      </c>
      <c r="H38" s="44">
        <v>0</v>
      </c>
    </row>
    <row r="39" spans="1:8" ht="16.5" customHeight="1" x14ac:dyDescent="0.2">
      <c r="A39" s="237"/>
      <c r="B39" s="5" t="s">
        <v>19</v>
      </c>
      <c r="C39" s="276" t="s">
        <v>53</v>
      </c>
      <c r="D39" s="276"/>
      <c r="E39" s="276"/>
      <c r="F39" s="45"/>
      <c r="G39" s="46"/>
      <c r="H39" s="47"/>
    </row>
    <row r="40" spans="1:8" ht="16.5" customHeight="1" x14ac:dyDescent="0.2">
      <c r="A40" s="237"/>
      <c r="B40" s="5" t="s">
        <v>54</v>
      </c>
      <c r="C40" s="276" t="s">
        <v>55</v>
      </c>
      <c r="D40" s="276"/>
      <c r="E40" s="276"/>
      <c r="F40" s="45"/>
      <c r="G40" s="46"/>
      <c r="H40" s="47"/>
    </row>
    <row r="41" spans="1:8" ht="16.5" customHeight="1" x14ac:dyDescent="0.2">
      <c r="A41" s="256"/>
      <c r="B41" s="5" t="s">
        <v>56</v>
      </c>
      <c r="C41" s="276" t="s">
        <v>57</v>
      </c>
      <c r="D41" s="276"/>
      <c r="E41" s="276"/>
      <c r="F41" s="45"/>
      <c r="G41" s="46"/>
      <c r="H41" s="47"/>
    </row>
    <row r="42" spans="1:8" ht="9.75" customHeight="1" x14ac:dyDescent="0.2">
      <c r="A42" s="237"/>
      <c r="B42" s="256"/>
      <c r="C42" s="256"/>
      <c r="D42" s="256"/>
      <c r="E42" s="256"/>
      <c r="F42" s="256"/>
      <c r="G42" s="256"/>
      <c r="H42" s="256"/>
    </row>
    <row r="43" spans="1:8" ht="16.5" customHeight="1" x14ac:dyDescent="0.2">
      <c r="A43" s="256"/>
      <c r="B43" s="254" t="s">
        <v>58</v>
      </c>
      <c r="C43" s="237"/>
      <c r="D43" s="237"/>
      <c r="E43" s="257"/>
      <c r="F43" s="257"/>
      <c r="G43" s="257"/>
      <c r="H43" s="257"/>
    </row>
    <row r="44" spans="1:8" ht="6.75" customHeight="1" x14ac:dyDescent="0.2">
      <c r="A44" s="237"/>
      <c r="B44" s="256"/>
      <c r="C44" s="256"/>
      <c r="D44" s="256"/>
      <c r="E44" s="256"/>
      <c r="F44" s="256"/>
      <c r="G44" s="256"/>
      <c r="H44" s="256"/>
    </row>
    <row r="45" spans="1:8" ht="15" customHeight="1" x14ac:dyDescent="0.2">
      <c r="A45" s="237"/>
      <c r="B45" s="254" t="s">
        <v>59</v>
      </c>
      <c r="C45" s="240"/>
      <c r="D45" s="240"/>
      <c r="E45" s="240"/>
      <c r="F45" s="240"/>
      <c r="G45" s="240"/>
      <c r="H45" s="240"/>
    </row>
    <row r="46" spans="1:8" ht="16.5" customHeight="1" x14ac:dyDescent="0.2">
      <c r="A46" s="237"/>
      <c r="B46" s="5" t="s">
        <v>60</v>
      </c>
      <c r="C46" s="277" t="s">
        <v>61</v>
      </c>
      <c r="D46" s="277"/>
      <c r="E46" s="277"/>
      <c r="F46" s="40" t="s">
        <v>62</v>
      </c>
      <c r="G46" s="40" t="s">
        <v>62</v>
      </c>
      <c r="H46" s="40" t="s">
        <v>62</v>
      </c>
    </row>
    <row r="47" spans="1:8" ht="16.5" customHeight="1" x14ac:dyDescent="0.2">
      <c r="A47" s="256"/>
      <c r="B47" s="50" t="s">
        <v>15</v>
      </c>
      <c r="C47" s="282" t="s">
        <v>63</v>
      </c>
      <c r="D47" s="282"/>
      <c r="E47" s="282"/>
      <c r="F47" s="51">
        <v>1</v>
      </c>
      <c r="G47" s="52">
        <v>1</v>
      </c>
      <c r="H47" s="53">
        <v>1</v>
      </c>
    </row>
    <row r="48" spans="1:8" ht="16.5" customHeight="1" x14ac:dyDescent="0.2">
      <c r="A48" s="237"/>
      <c r="B48" s="256"/>
      <c r="C48" s="256"/>
      <c r="D48" s="256"/>
      <c r="E48" s="256"/>
      <c r="F48" s="256"/>
      <c r="G48" s="256"/>
      <c r="H48" s="256"/>
    </row>
    <row r="49" spans="1:1024" ht="15" customHeight="1" x14ac:dyDescent="0.2">
      <c r="A49" s="237"/>
      <c r="B49" s="254" t="s">
        <v>64</v>
      </c>
      <c r="C49" s="240"/>
      <c r="D49" s="240"/>
      <c r="E49" s="240"/>
      <c r="F49" s="240"/>
      <c r="G49" s="240"/>
      <c r="H49" s="240"/>
    </row>
    <row r="50" spans="1:1024" ht="31.5" customHeight="1" x14ac:dyDescent="0.2">
      <c r="A50" s="237"/>
      <c r="B50" s="5" t="s">
        <v>65</v>
      </c>
      <c r="C50" s="277" t="s">
        <v>66</v>
      </c>
      <c r="D50" s="277"/>
      <c r="E50" s="40" t="s">
        <v>67</v>
      </c>
      <c r="F50" s="40" t="s">
        <v>48</v>
      </c>
      <c r="G50" s="40" t="s">
        <v>48</v>
      </c>
      <c r="H50" s="40" t="s">
        <v>48</v>
      </c>
    </row>
    <row r="51" spans="1:1024" ht="16.5" customHeight="1" x14ac:dyDescent="0.2">
      <c r="A51" s="258"/>
      <c r="B51" s="280" t="s">
        <v>11</v>
      </c>
      <c r="C51" s="279" t="s">
        <v>68</v>
      </c>
      <c r="D51" s="279"/>
      <c r="E51" s="55" t="s">
        <v>69</v>
      </c>
      <c r="F51" s="56">
        <v>8.6</v>
      </c>
      <c r="G51" s="57">
        <v>8.6</v>
      </c>
      <c r="H51" s="58">
        <v>8.6</v>
      </c>
      <c r="ALH51" s="259"/>
      <c r="ALI51" s="259"/>
      <c r="ALJ51" s="259"/>
      <c r="ALK51" s="259"/>
      <c r="ALL51" s="259"/>
      <c r="ALM51" s="259"/>
      <c r="ALN51" s="259"/>
      <c r="ALO51" s="259"/>
      <c r="ALP51" s="259"/>
      <c r="ALQ51" s="259"/>
      <c r="ALR51" s="259"/>
      <c r="ALS51" s="259"/>
      <c r="ALT51" s="259"/>
      <c r="ALU51" s="259"/>
      <c r="ALV51" s="259"/>
      <c r="ALW51" s="259"/>
      <c r="ALX51" s="259"/>
      <c r="ALY51" s="259"/>
      <c r="ALZ51" s="259"/>
      <c r="AMA51" s="259"/>
      <c r="AMB51" s="259"/>
      <c r="AMC51" s="259"/>
      <c r="AMD51" s="259"/>
      <c r="AME51" s="259"/>
      <c r="AMF51" s="259"/>
      <c r="AMG51" s="259"/>
      <c r="AMH51" s="259"/>
      <c r="AMI51" s="259"/>
      <c r="AMJ51" s="259"/>
    </row>
    <row r="52" spans="1:1024" ht="16.5" customHeight="1" x14ac:dyDescent="0.2">
      <c r="A52" s="258"/>
      <c r="B52" s="280"/>
      <c r="C52" s="279"/>
      <c r="D52" s="279"/>
      <c r="E52" s="55" t="s">
        <v>70</v>
      </c>
      <c r="F52" s="56">
        <v>12</v>
      </c>
      <c r="G52" s="57">
        <v>12</v>
      </c>
      <c r="H52" s="58">
        <v>12</v>
      </c>
      <c r="ALH52" s="259"/>
      <c r="ALI52" s="259"/>
      <c r="ALJ52" s="259"/>
      <c r="ALK52" s="259"/>
      <c r="ALL52" s="259"/>
      <c r="ALM52" s="259"/>
      <c r="ALN52" s="259"/>
      <c r="ALO52" s="259"/>
      <c r="ALP52" s="259"/>
      <c r="ALQ52" s="259"/>
      <c r="ALR52" s="259"/>
      <c r="ALS52" s="259"/>
      <c r="ALT52" s="259"/>
      <c r="ALU52" s="259"/>
      <c r="ALV52" s="259"/>
      <c r="ALW52" s="259"/>
      <c r="ALX52" s="259"/>
      <c r="ALY52" s="259"/>
      <c r="ALZ52" s="259"/>
      <c r="AMA52" s="259"/>
      <c r="AMB52" s="259"/>
      <c r="AMC52" s="259"/>
      <c r="AMD52" s="259"/>
      <c r="AME52" s="259"/>
      <c r="AMF52" s="259"/>
      <c r="AMG52" s="259"/>
      <c r="AMH52" s="259"/>
      <c r="AMI52" s="259"/>
      <c r="AMJ52" s="259"/>
    </row>
    <row r="53" spans="1:1024" ht="16.5" customHeight="1" x14ac:dyDescent="0.2">
      <c r="A53" s="258"/>
      <c r="B53" s="280"/>
      <c r="C53" s="279"/>
      <c r="D53" s="279"/>
      <c r="E53" s="55" t="s">
        <v>71</v>
      </c>
      <c r="F53" s="56">
        <v>0</v>
      </c>
      <c r="G53" s="57">
        <v>0</v>
      </c>
      <c r="H53" s="58">
        <v>0</v>
      </c>
      <c r="ALH53" s="259"/>
      <c r="ALI53" s="259"/>
      <c r="ALJ53" s="259"/>
      <c r="ALK53" s="259"/>
      <c r="ALL53" s="259"/>
      <c r="ALM53" s="259"/>
      <c r="ALN53" s="259"/>
      <c r="ALO53" s="259"/>
      <c r="ALP53" s="259"/>
      <c r="ALQ53" s="259"/>
      <c r="ALR53" s="259"/>
      <c r="ALS53" s="259"/>
      <c r="ALT53" s="259"/>
      <c r="ALU53" s="259"/>
      <c r="ALV53" s="259"/>
      <c r="ALW53" s="259"/>
      <c r="ALX53" s="259"/>
      <c r="ALY53" s="259"/>
      <c r="ALZ53" s="259"/>
      <c r="AMA53" s="259"/>
      <c r="AMB53" s="259"/>
      <c r="AMC53" s="259"/>
      <c r="AMD53" s="259"/>
      <c r="AME53" s="259"/>
      <c r="AMF53" s="259"/>
      <c r="AMG53" s="259"/>
      <c r="AMH53" s="259"/>
      <c r="AMI53" s="259"/>
      <c r="AMJ53" s="259"/>
    </row>
    <row r="54" spans="1:1024" ht="16.5" customHeight="1" x14ac:dyDescent="0.2">
      <c r="A54" s="256"/>
      <c r="B54" s="50" t="s">
        <v>13</v>
      </c>
      <c r="C54" s="266" t="s">
        <v>72</v>
      </c>
      <c r="D54" s="266"/>
      <c r="E54" s="55" t="s">
        <v>73</v>
      </c>
      <c r="F54" s="56">
        <v>25</v>
      </c>
      <c r="G54" s="57">
        <v>25</v>
      </c>
      <c r="H54" s="58">
        <v>25</v>
      </c>
    </row>
    <row r="55" spans="1:1024" ht="16.5" customHeight="1" x14ac:dyDescent="0.2">
      <c r="A55" s="237"/>
      <c r="B55" s="281" t="s">
        <v>74</v>
      </c>
      <c r="C55" s="281"/>
      <c r="D55" s="281"/>
      <c r="E55" s="59" t="s">
        <v>75</v>
      </c>
      <c r="F55" s="60"/>
      <c r="G55" s="60"/>
      <c r="H55" s="60"/>
    </row>
    <row r="56" spans="1:1024" ht="16.5" customHeight="1" x14ac:dyDescent="0.2">
      <c r="A56" s="237"/>
      <c r="B56" s="50" t="s">
        <v>15</v>
      </c>
      <c r="C56" s="276" t="s">
        <v>76</v>
      </c>
      <c r="D56" s="276"/>
      <c r="E56" s="55" t="s">
        <v>77</v>
      </c>
      <c r="F56" s="45">
        <v>16</v>
      </c>
      <c r="G56" s="46">
        <v>16</v>
      </c>
      <c r="H56" s="47">
        <v>16</v>
      </c>
    </row>
    <row r="57" spans="1:1024" ht="16.5" customHeight="1" x14ac:dyDescent="0.2">
      <c r="A57" s="237"/>
      <c r="B57" s="50" t="s">
        <v>17</v>
      </c>
      <c r="C57" s="276" t="s">
        <v>78</v>
      </c>
      <c r="D57" s="276"/>
      <c r="E57" s="55" t="s">
        <v>77</v>
      </c>
      <c r="F57" s="45">
        <v>72.37</v>
      </c>
      <c r="G57" s="46">
        <v>72.37</v>
      </c>
      <c r="H57" s="47">
        <v>72.37</v>
      </c>
    </row>
    <row r="58" spans="1:1024" ht="16.5" customHeight="1" x14ac:dyDescent="0.2">
      <c r="A58" s="256"/>
      <c r="B58" s="50" t="s">
        <v>19</v>
      </c>
      <c r="C58" s="276" t="s">
        <v>79</v>
      </c>
      <c r="D58" s="276"/>
      <c r="E58" s="55" t="s">
        <v>77</v>
      </c>
      <c r="F58" s="45">
        <v>4</v>
      </c>
      <c r="G58" s="46">
        <v>4</v>
      </c>
      <c r="H58" s="47">
        <v>4</v>
      </c>
    </row>
    <row r="59" spans="1:1024" ht="16.5" customHeight="1" x14ac:dyDescent="0.2">
      <c r="A59" s="237"/>
      <c r="B59" s="256"/>
      <c r="C59" s="256"/>
      <c r="D59" s="256"/>
      <c r="E59" s="256"/>
      <c r="F59" s="256"/>
      <c r="G59" s="256"/>
      <c r="H59" s="256"/>
    </row>
    <row r="60" spans="1:1024" ht="16.5" customHeight="1" x14ac:dyDescent="0.2">
      <c r="A60" s="237"/>
      <c r="B60" s="254" t="s">
        <v>80</v>
      </c>
      <c r="C60" s="61"/>
      <c r="D60" s="62"/>
      <c r="E60" s="63"/>
      <c r="F60" s="63"/>
      <c r="G60" s="63"/>
      <c r="H60" s="63"/>
    </row>
    <row r="61" spans="1:1024" ht="15" customHeight="1" x14ac:dyDescent="0.2">
      <c r="A61" s="237"/>
      <c r="B61" s="5" t="s">
        <v>81</v>
      </c>
      <c r="C61" s="272" t="s">
        <v>82</v>
      </c>
      <c r="D61" s="272"/>
      <c r="E61" s="272"/>
      <c r="F61" s="40" t="s">
        <v>83</v>
      </c>
      <c r="G61" s="40" t="s">
        <v>83</v>
      </c>
      <c r="H61" s="40" t="s">
        <v>83</v>
      </c>
    </row>
    <row r="62" spans="1:1024" ht="15" customHeight="1" x14ac:dyDescent="0.2">
      <c r="A62" s="237"/>
      <c r="B62" s="5" t="s">
        <v>11</v>
      </c>
      <c r="C62" s="279" t="s">
        <v>84</v>
      </c>
      <c r="D62" s="279"/>
      <c r="E62" s="279"/>
      <c r="F62" s="42"/>
      <c r="G62" s="43"/>
      <c r="H62" s="44"/>
    </row>
    <row r="63" spans="1:1024" ht="16.5" customHeight="1" x14ac:dyDescent="0.2">
      <c r="A63" s="256"/>
      <c r="B63" s="5" t="s">
        <v>13</v>
      </c>
      <c r="C63" s="266" t="s">
        <v>85</v>
      </c>
      <c r="D63" s="266"/>
      <c r="E63" s="266"/>
      <c r="F63" s="42"/>
      <c r="G63" s="43"/>
      <c r="H63" s="44"/>
    </row>
    <row r="64" spans="1:1024" ht="16.5" customHeight="1" x14ac:dyDescent="0.2">
      <c r="A64" s="240"/>
      <c r="B64" s="256"/>
      <c r="C64" s="256"/>
      <c r="D64" s="256"/>
      <c r="E64" s="256"/>
      <c r="F64" s="256"/>
      <c r="G64" s="256"/>
      <c r="H64" s="256"/>
    </row>
    <row r="65" spans="1:8" ht="15" customHeight="1" x14ac:dyDescent="0.2">
      <c r="A65" s="240"/>
      <c r="B65" s="254" t="s">
        <v>86</v>
      </c>
      <c r="C65" s="61"/>
      <c r="D65" s="62"/>
      <c r="E65" s="237"/>
      <c r="F65" s="237"/>
      <c r="G65" s="237"/>
      <c r="H65" s="237"/>
    </row>
    <row r="66" spans="1:8" ht="16.5" customHeight="1" x14ac:dyDescent="0.2">
      <c r="A66" s="240"/>
      <c r="B66" s="254" t="s">
        <v>87</v>
      </c>
      <c r="C66" s="61"/>
      <c r="D66" s="62"/>
      <c r="E66" s="63"/>
      <c r="F66" s="63"/>
      <c r="G66" s="63"/>
      <c r="H66" s="63"/>
    </row>
    <row r="67" spans="1:8" ht="16.5" customHeight="1" x14ac:dyDescent="0.2">
      <c r="A67" s="256"/>
      <c r="B67" s="5" t="s">
        <v>88</v>
      </c>
      <c r="C67" s="277" t="s">
        <v>89</v>
      </c>
      <c r="D67" s="277"/>
      <c r="E67" s="277"/>
      <c r="F67" s="40" t="s">
        <v>90</v>
      </c>
      <c r="G67" s="40" t="s">
        <v>90</v>
      </c>
      <c r="H67" s="40" t="s">
        <v>90</v>
      </c>
    </row>
    <row r="68" spans="1:8" ht="16.5" customHeight="1" x14ac:dyDescent="0.2">
      <c r="A68" s="237"/>
      <c r="B68" s="40" t="s">
        <v>11</v>
      </c>
      <c r="C68" s="278" t="s">
        <v>91</v>
      </c>
      <c r="D68" s="278"/>
      <c r="E68" s="278"/>
      <c r="F68" s="56"/>
      <c r="G68" s="57"/>
      <c r="H68" s="58"/>
    </row>
    <row r="69" spans="1:8" ht="16.5" customHeight="1" x14ac:dyDescent="0.2">
      <c r="A69" s="237"/>
      <c r="B69" s="256"/>
      <c r="C69" s="256"/>
      <c r="D69" s="256"/>
      <c r="E69" s="256"/>
      <c r="F69" s="256"/>
      <c r="G69" s="256"/>
      <c r="H69" s="256"/>
    </row>
    <row r="70" spans="1:8" ht="16.5" customHeight="1" x14ac:dyDescent="0.2">
      <c r="A70" s="237"/>
      <c r="B70" s="254" t="s">
        <v>92</v>
      </c>
      <c r="C70" s="61"/>
      <c r="D70" s="62"/>
      <c r="E70" s="63"/>
      <c r="F70" s="63"/>
      <c r="G70" s="63"/>
      <c r="H70" s="63"/>
    </row>
    <row r="71" spans="1:8" ht="16.5" customHeight="1" x14ac:dyDescent="0.2">
      <c r="A71" s="256"/>
      <c r="B71" s="5" t="s">
        <v>93</v>
      </c>
      <c r="C71" s="272" t="s">
        <v>94</v>
      </c>
      <c r="D71" s="272"/>
      <c r="E71" s="272"/>
      <c r="F71" s="40" t="s">
        <v>83</v>
      </c>
      <c r="G71" s="40" t="s">
        <v>83</v>
      </c>
      <c r="H71" s="40" t="s">
        <v>83</v>
      </c>
    </row>
    <row r="72" spans="1:8" ht="16.5" customHeight="1" x14ac:dyDescent="0.2">
      <c r="A72" s="237"/>
      <c r="B72" s="5" t="s">
        <v>11</v>
      </c>
      <c r="C72" s="266" t="s">
        <v>85</v>
      </c>
      <c r="D72" s="266"/>
      <c r="E72" s="266"/>
      <c r="F72" s="42"/>
      <c r="G72" s="43"/>
      <c r="H72" s="44"/>
    </row>
    <row r="73" spans="1:8" ht="15.75" customHeight="1" x14ac:dyDescent="0.2">
      <c r="A73" s="237"/>
      <c r="B73" s="256"/>
      <c r="C73" s="256"/>
      <c r="D73" s="256"/>
      <c r="E73" s="256"/>
      <c r="F73" s="256"/>
      <c r="G73" s="256"/>
      <c r="H73" s="256"/>
    </row>
    <row r="74" spans="1:8" ht="16.5" customHeight="1" x14ac:dyDescent="0.2">
      <c r="A74" s="237"/>
      <c r="B74" s="254" t="s">
        <v>95</v>
      </c>
      <c r="C74" s="61"/>
      <c r="D74" s="61"/>
      <c r="E74" s="63"/>
      <c r="F74" s="63"/>
      <c r="G74" s="63"/>
      <c r="H74" s="63"/>
    </row>
    <row r="75" spans="1:8" ht="16.5" customHeight="1" x14ac:dyDescent="0.2">
      <c r="A75" s="237"/>
      <c r="B75" s="64">
        <v>5</v>
      </c>
      <c r="C75" s="273" t="s">
        <v>96</v>
      </c>
      <c r="D75" s="273"/>
      <c r="E75" s="273"/>
      <c r="F75" s="65" t="s">
        <v>97</v>
      </c>
      <c r="G75" s="65" t="s">
        <v>97</v>
      </c>
      <c r="H75" s="65" t="s">
        <v>97</v>
      </c>
    </row>
    <row r="76" spans="1:8" ht="16.5" customHeight="1" x14ac:dyDescent="0.2">
      <c r="A76" s="237"/>
      <c r="B76" s="64" t="s">
        <v>11</v>
      </c>
      <c r="C76" s="274" t="s">
        <v>98</v>
      </c>
      <c r="D76" s="274"/>
      <c r="E76" s="274"/>
      <c r="F76" s="67">
        <f>'UNIFORMES_TODOS OS POSTOS'!F7</f>
        <v>84.899999999999991</v>
      </c>
      <c r="G76" s="68">
        <f>'UNIFORMES_TODOS OS POSTOS'!F15</f>
        <v>113.86</v>
      </c>
      <c r="H76" s="69">
        <f>'UNIFORMES_TODOS OS POSTOS'!F23</f>
        <v>204.29000000000002</v>
      </c>
    </row>
    <row r="77" spans="1:8" ht="16.5" customHeight="1" x14ac:dyDescent="0.2">
      <c r="A77" s="237"/>
      <c r="B77" s="64" t="s">
        <v>13</v>
      </c>
      <c r="C77" s="275" t="s">
        <v>99</v>
      </c>
      <c r="D77" s="275"/>
      <c r="E77" s="275"/>
      <c r="F77" s="67">
        <v>0</v>
      </c>
      <c r="G77" s="68">
        <v>0</v>
      </c>
      <c r="H77" s="69">
        <v>0</v>
      </c>
    </row>
    <row r="78" spans="1:8" ht="16.5" customHeight="1" x14ac:dyDescent="0.2">
      <c r="A78" s="256"/>
      <c r="B78" s="64" t="s">
        <v>15</v>
      </c>
      <c r="C78" s="274" t="s">
        <v>100</v>
      </c>
      <c r="D78" s="274"/>
      <c r="E78" s="274"/>
      <c r="F78" s="67">
        <v>0</v>
      </c>
      <c r="G78" s="68">
        <f>'Equipamento e EPI - Carregador'!L7</f>
        <v>3.35</v>
      </c>
      <c r="H78" s="69">
        <v>0</v>
      </c>
    </row>
    <row r="79" spans="1:8" ht="16.5" customHeight="1" x14ac:dyDescent="0.2">
      <c r="A79" s="237"/>
      <c r="B79" s="64" t="s">
        <v>17</v>
      </c>
      <c r="C79" s="276" t="s">
        <v>101</v>
      </c>
      <c r="D79" s="276"/>
      <c r="E79" s="276"/>
      <c r="F79" s="45"/>
      <c r="G79" s="46">
        <f>'Equipamento e EPI - Carregador'!G19</f>
        <v>9.2649999999999988</v>
      </c>
      <c r="H79" s="47"/>
    </row>
    <row r="80" spans="1:8" ht="16.5" customHeight="1" x14ac:dyDescent="0.2">
      <c r="A80" s="237"/>
      <c r="B80" s="256"/>
      <c r="C80" s="256"/>
      <c r="D80" s="256"/>
      <c r="E80" s="256"/>
      <c r="F80" s="256"/>
      <c r="G80" s="256"/>
      <c r="H80" s="256"/>
    </row>
    <row r="81" spans="1:8" ht="16.5" customHeight="1" x14ac:dyDescent="0.2">
      <c r="A81" s="260"/>
      <c r="B81" s="271" t="s">
        <v>102</v>
      </c>
      <c r="C81" s="271"/>
      <c r="D81" s="271"/>
      <c r="E81" s="271"/>
      <c r="F81" s="271"/>
      <c r="G81" s="261"/>
      <c r="H81" s="261"/>
    </row>
    <row r="82" spans="1:8" ht="16.5" customHeight="1" x14ac:dyDescent="0.2">
      <c r="A82" s="260"/>
      <c r="B82" s="5">
        <v>6</v>
      </c>
      <c r="C82" s="272" t="s">
        <v>103</v>
      </c>
      <c r="D82" s="272"/>
      <c r="E82" s="272"/>
      <c r="F82" s="40" t="s">
        <v>90</v>
      </c>
      <c r="G82" s="40" t="s">
        <v>90</v>
      </c>
      <c r="H82" s="40" t="s">
        <v>90</v>
      </c>
    </row>
    <row r="83" spans="1:8" ht="16.5" customHeight="1" x14ac:dyDescent="0.2">
      <c r="A83" s="262"/>
      <c r="B83" s="5" t="s">
        <v>11</v>
      </c>
      <c r="C83" s="267" t="s">
        <v>104</v>
      </c>
      <c r="D83" s="267"/>
      <c r="E83" s="267"/>
      <c r="F83" s="72">
        <v>4.7300000000000004</v>
      </c>
      <c r="G83" s="73">
        <v>4.7300000000000004</v>
      </c>
      <c r="H83" s="74">
        <v>4.7300000000000004</v>
      </c>
    </row>
    <row r="84" spans="1:8" ht="16.5" customHeight="1" x14ac:dyDescent="0.2">
      <c r="A84" s="237"/>
      <c r="B84" s="40" t="s">
        <v>13</v>
      </c>
      <c r="C84" s="266" t="s">
        <v>105</v>
      </c>
      <c r="D84" s="266"/>
      <c r="E84" s="266"/>
      <c r="F84" s="72">
        <v>5.57</v>
      </c>
      <c r="G84" s="73">
        <v>5.57</v>
      </c>
      <c r="H84" s="74">
        <v>5.57</v>
      </c>
    </row>
    <row r="85" spans="1:8" ht="16.5" customHeight="1" x14ac:dyDescent="0.2">
      <c r="A85" s="237"/>
      <c r="B85" s="75" t="s">
        <v>106</v>
      </c>
      <c r="C85" s="267" t="s">
        <v>107</v>
      </c>
      <c r="D85" s="267"/>
      <c r="E85" s="267"/>
      <c r="F85" s="72">
        <v>0.65</v>
      </c>
      <c r="G85" s="73">
        <v>0.65</v>
      </c>
      <c r="H85" s="74">
        <v>0.65</v>
      </c>
    </row>
    <row r="86" spans="1:8" ht="16.5" customHeight="1" x14ac:dyDescent="0.2">
      <c r="A86" s="256"/>
      <c r="B86" s="75" t="s">
        <v>108</v>
      </c>
      <c r="C86" s="266" t="s">
        <v>109</v>
      </c>
      <c r="D86" s="266"/>
      <c r="E86" s="266"/>
      <c r="F86" s="72">
        <v>3</v>
      </c>
      <c r="G86" s="73">
        <v>3</v>
      </c>
      <c r="H86" s="74">
        <v>3</v>
      </c>
    </row>
    <row r="87" spans="1:8" ht="16.5" customHeight="1" x14ac:dyDescent="0.2">
      <c r="A87" s="237"/>
      <c r="B87" s="75" t="s">
        <v>110</v>
      </c>
      <c r="C87" s="267" t="s">
        <v>111</v>
      </c>
      <c r="D87" s="267"/>
      <c r="E87" s="267"/>
      <c r="F87" s="72">
        <v>5</v>
      </c>
      <c r="G87" s="73">
        <v>5</v>
      </c>
      <c r="H87" s="74">
        <v>5</v>
      </c>
    </row>
    <row r="88" spans="1:8" ht="14.25" customHeight="1" x14ac:dyDescent="0.2">
      <c r="A88" s="237"/>
      <c r="B88" s="256"/>
      <c r="C88" s="256"/>
      <c r="D88" s="256"/>
      <c r="E88" s="256"/>
      <c r="F88" s="256"/>
      <c r="G88" s="256"/>
      <c r="H88" s="256"/>
    </row>
    <row r="89" spans="1:8" ht="32.25" customHeight="1" x14ac:dyDescent="0.2">
      <c r="A89" s="237"/>
      <c r="B89" s="76" t="s">
        <v>112</v>
      </c>
      <c r="C89" s="77"/>
      <c r="D89" s="77"/>
      <c r="E89" s="77"/>
      <c r="F89" s="78"/>
      <c r="G89" s="78"/>
      <c r="H89" s="78"/>
    </row>
    <row r="90" spans="1:8" ht="36.75" customHeight="1" x14ac:dyDescent="0.2">
      <c r="A90" s="237"/>
      <c r="B90" s="268" t="s">
        <v>113</v>
      </c>
      <c r="C90" s="268"/>
      <c r="D90" s="268"/>
      <c r="E90" s="268"/>
      <c r="F90" s="268"/>
      <c r="G90" s="261"/>
      <c r="H90" s="261"/>
    </row>
  </sheetData>
  <mergeCells count="64">
    <mergeCell ref="B1:F1"/>
    <mergeCell ref="B4:F4"/>
    <mergeCell ref="B5:F5"/>
    <mergeCell ref="B6:C6"/>
    <mergeCell ref="D6:F6"/>
    <mergeCell ref="B7:C7"/>
    <mergeCell ref="D7:E7"/>
    <mergeCell ref="B8:C8"/>
    <mergeCell ref="D8:E8"/>
    <mergeCell ref="B10:F10"/>
    <mergeCell ref="C11:E11"/>
    <mergeCell ref="D12:F12"/>
    <mergeCell ref="C13:E13"/>
    <mergeCell ref="C14:E14"/>
    <mergeCell ref="C15:E15"/>
    <mergeCell ref="B17:H17"/>
    <mergeCell ref="B18:D19"/>
    <mergeCell ref="C20:D20"/>
    <mergeCell ref="C21:D23"/>
    <mergeCell ref="B24:E24"/>
    <mergeCell ref="B26:H26"/>
    <mergeCell ref="C27:E27"/>
    <mergeCell ref="C28:E28"/>
    <mergeCell ref="C29:E29"/>
    <mergeCell ref="C30:E30"/>
    <mergeCell ref="C34:E34"/>
    <mergeCell ref="C35:E35"/>
    <mergeCell ref="C36:E36"/>
    <mergeCell ref="C37:E37"/>
    <mergeCell ref="C38:E38"/>
    <mergeCell ref="C39:E39"/>
    <mergeCell ref="C40:E40"/>
    <mergeCell ref="C41:E41"/>
    <mergeCell ref="C46:E46"/>
    <mergeCell ref="C47:E47"/>
    <mergeCell ref="C50:D50"/>
    <mergeCell ref="B51:B53"/>
    <mergeCell ref="C51:D53"/>
    <mergeCell ref="C54:D54"/>
    <mergeCell ref="B55:D55"/>
    <mergeCell ref="C68:E68"/>
    <mergeCell ref="C71:E71"/>
    <mergeCell ref="C72:E72"/>
    <mergeCell ref="C56:D56"/>
    <mergeCell ref="C57:D57"/>
    <mergeCell ref="C58:D58"/>
    <mergeCell ref="C61:E61"/>
    <mergeCell ref="C62:E62"/>
    <mergeCell ref="C86:E86"/>
    <mergeCell ref="C87:E87"/>
    <mergeCell ref="B90:F90"/>
    <mergeCell ref="B2:F2"/>
    <mergeCell ref="B81:F81"/>
    <mergeCell ref="C82:E82"/>
    <mergeCell ref="C83:E83"/>
    <mergeCell ref="C84:E84"/>
    <mergeCell ref="C85:E85"/>
    <mergeCell ref="C75:E75"/>
    <mergeCell ref="C76:E76"/>
    <mergeCell ref="C77:E77"/>
    <mergeCell ref="C78:E78"/>
    <mergeCell ref="C79:E79"/>
    <mergeCell ref="C63:E63"/>
    <mergeCell ref="C67:E67"/>
  </mergeCells>
  <dataValidations count="14">
    <dataValidation type="decimal" allowBlank="1" showInputMessage="1" prompt="Erro na inserção de dados. - O percentual recomendado de lucro é de 5,57%, conforme estudos realizados pela Auditoria Interna do MPU." sqref="F84:H84">
      <formula1>0</formula1>
      <formula2>5.57</formula2>
    </dataValidation>
    <dataValidation type="list" allowBlank="1" showErrorMessage="1" sqref="F13">
      <formula1>"AC,AL,AP,AM,BA,CE,DF,ES,GO,MA,MG,MS,MT,PA,PB,PR,PE,PI,RJ,RN,RO,RR,RS,SC,SP,SE,TO"</formula1>
      <formula2>0</formula2>
    </dataValidation>
    <dataValidation type="decimal" allowBlank="1" showInputMessage="1" prompt="Erro na inserção de dados. - O percentual recomendado de custos indiretos é de 4,73%, conforme estudos realizados pela Auditoria Interna do MPU." sqref="F83:H83">
      <formula1>0</formula1>
      <formula2>4.73</formula2>
    </dataValidation>
    <dataValidation type="list" allowBlank="1" showInputMessage="1" prompt="Atenção! - Se a resposta for &quot;Sim&quot;, deverá ser incluído o percentual do PAT na coluna ao lado. Caso seja &quot;Não&quot;, não há necessidade." sqref="E55">
      <formula1>"Sim,Não"</formula1>
      <formula2>0</formula2>
    </dataValidation>
    <dataValidation type="decimal" operator="greaterThanOrEqual" allowBlank="1" showInputMessage="1" showErrorMessage="1" prompt="Intervalo Intrajornada - Segundo estudos da Audin-MPU, esse item não é usual nas planilhas do MPU. Verifique se realmente há necessidade de incluí-lo." sqref="F62:H62">
      <formula1>50</formula1>
      <formula2>0</formula2>
    </dataValidation>
    <dataValidation type="decimal" allowBlank="1" showInputMessage="1" showErrorMessage="1" prompt="Erro na inserção de dados - O FAP é um multiplicador, atualmente calculado por estabelecimento, que varia de 0,5000 a 2,0000, conforme previsto no art. 10 da Lei nº 10.666/03." sqref="F47:H47">
      <formula1>0.5</formula1>
      <formula2>2</formula2>
    </dataValidation>
    <dataValidation type="decimal" operator="equal" allowBlank="1" showInputMessage="1" prompt="Intervalo Intrajornada - Segundo estudos da Audin-MPU, esse item não é usual nas planilhas do MPU. Verifique se realmente há necessidade de incluí-lo." sqref="F72:H72">
      <formula1>0</formula1>
      <formula2>0</formula2>
    </dataValidation>
    <dataValidation type="decimal" allowBlank="1" showInputMessage="1" showErrorMessage="1" prompt="Erro na inserção de dados. - O percentual de ISS deve estar entre 2 e 5%, conforme o inciso I do artigo 8º e o caput do art. 8º-A da Lei Complementar nº 116/2003." sqref="F87:H87">
      <formula1>2</formula1>
      <formula2>5</formula2>
    </dataValidation>
    <dataValidation type="list" allowBlank="1" showInputMessage="1" showErrorMessage="1" prompt="Erro na inserção de dados. - De acordo com o art. 192 da CLT, estão previstos somente os percentuais de 40% (máximo), 20% (médio) ou 10% (mínimo), conforme for a exposição ao risco." sqref="F38:H38">
      <formula1>"0,10,20,40"</formula1>
      <formula2>0</formula2>
    </dataValidation>
    <dataValidation type="decimal" operator="equal" allowBlank="1" showInputMessage="1" prompt="Atentar para o percentual. - Tem certeza que o percentual do Cofins é diferente de 3%, previsto no art. 31 da Lei nº 10.833/2003?" sqref="F86:H86">
      <formula1>3</formula1>
      <formula2>0</formula2>
    </dataValidation>
    <dataValidation type="list" allowBlank="1" showInputMessage="1" prompt="Atentar para a base de cálculo. - Tem certeza que o adicional de insalubridade tem como base de cálculo o salário normativo previsto na CCT?" sqref="F24:H24">
      <formula1>"CCT,Salário Mínimo"</formula1>
      <formula2>0</formula2>
    </dataValidation>
    <dataValidation type="decimal" allowBlank="1" showInputMessage="1" prompt="Intervalo Intrajornada - Segundo estudos da Audin-MPU, esse item não é usual nas planilhas do MPU. Verifique se realmente há necessidade de incluí-lo." sqref="F63:H63">
      <formula1>30</formula1>
      <formula2>60</formula2>
    </dataValidation>
    <dataValidation type="decimal" operator="equal" allowBlank="1" showInputMessage="1" prompt="Atentar para o percentual. - Tem certeza que o percentual do PIS é diferente de 0,65%, previsto no art. 31 da Lei nº 10.833/2003?" sqref="F85:H85">
      <formula1>0.65</formula1>
      <formula2>0</formula2>
    </dataValidation>
    <dataValidation type="decimal" operator="lessThanOrEqual" allowBlank="1" showInputMessage="1" showErrorMessage="1" prompt="Erro na inserção de dados. - O percentual máximo de desconto para empresas que aderem ao Programa de Assistência ao Trabalhador (PAT) é de 20%, conforme o disposto no art. 645, § 2º, do Decreto nº 9.580/18." sqref="F55:H55">
      <formula1>20</formula1>
      <formula2>0</formula2>
    </dataValidation>
  </dataValidations>
  <printOptions horizontalCentered="1"/>
  <pageMargins left="0.196527777777778" right="0.196527777777778" top="0.196527777777778" bottom="0.196527777777778" header="0.51180555555555496" footer="0.51180555555555496"/>
  <pageSetup paperSize="9" firstPageNumber="0" fitToHeight="0" orientation="landscape" horizontalDpi="300" verticalDpi="3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38"/>
  <sheetViews>
    <sheetView tabSelected="1" zoomScale="90" zoomScaleNormal="90" workbookViewId="0">
      <selection activeCell="D48" sqref="D48"/>
    </sheetView>
  </sheetViews>
  <sheetFormatPr defaultRowHeight="14.25" x14ac:dyDescent="0.2"/>
  <cols>
    <col min="1" max="1" width="5.140625" style="221" customWidth="1"/>
    <col min="2" max="2" width="11.42578125" style="221" customWidth="1"/>
    <col min="3" max="4" width="20.5703125" style="221" customWidth="1"/>
    <col min="5" max="5" width="17.28515625" style="221" customWidth="1"/>
    <col min="6" max="6" width="25.42578125" style="221" customWidth="1"/>
    <col min="7" max="7" width="24.7109375" style="221" customWidth="1"/>
    <col min="8" max="8" width="12.7109375" style="221" customWidth="1"/>
    <col min="9" max="9" width="12" style="221" bestFit="1" customWidth="1"/>
    <col min="10" max="1024" width="11.5703125" style="221"/>
    <col min="1025" max="16384" width="9.140625" style="222"/>
  </cols>
  <sheetData>
    <row r="1" spans="1:7" ht="14.25" customHeight="1" x14ac:dyDescent="0.2">
      <c r="A1" s="347" t="s">
        <v>259</v>
      </c>
      <c r="B1" s="347"/>
      <c r="C1" s="347"/>
      <c r="D1" s="347"/>
      <c r="E1" s="347"/>
      <c r="F1" s="347"/>
      <c r="G1" s="347"/>
    </row>
    <row r="2" spans="1:7" x14ac:dyDescent="0.2">
      <c r="A2" s="347" t="s">
        <v>260</v>
      </c>
      <c r="B2" s="347"/>
      <c r="C2" s="347"/>
      <c r="D2" s="347"/>
      <c r="E2" s="347"/>
      <c r="F2" s="347"/>
      <c r="G2" s="347"/>
    </row>
    <row r="3" spans="1:7" ht="96.75" customHeight="1" x14ac:dyDescent="0.2">
      <c r="A3" s="346" t="s">
        <v>319</v>
      </c>
      <c r="B3" s="346"/>
      <c r="C3" s="346"/>
      <c r="D3" s="346"/>
      <c r="E3" s="346"/>
      <c r="F3" s="346"/>
      <c r="G3" s="346"/>
    </row>
    <row r="4" spans="1:7" ht="7.5" customHeight="1" x14ac:dyDescent="0.2">
      <c r="A4" s="202"/>
      <c r="B4" s="202"/>
      <c r="C4" s="348"/>
      <c r="D4" s="348"/>
      <c r="E4" s="348"/>
      <c r="F4" s="348"/>
      <c r="G4" s="348"/>
    </row>
    <row r="5" spans="1:7" ht="21" customHeight="1" x14ac:dyDescent="0.2">
      <c r="A5" s="339" t="s">
        <v>261</v>
      </c>
      <c r="B5" s="339"/>
      <c r="C5" s="339"/>
      <c r="D5" s="339"/>
      <c r="E5" s="339"/>
      <c r="F5" s="339"/>
      <c r="G5" s="339"/>
    </row>
    <row r="6" spans="1:7" ht="101.25" customHeight="1" x14ac:dyDescent="0.2">
      <c r="A6" s="342" t="s">
        <v>318</v>
      </c>
      <c r="B6" s="342"/>
      <c r="C6" s="342"/>
      <c r="D6" s="342"/>
      <c r="E6" s="342"/>
      <c r="F6" s="342"/>
      <c r="G6" s="342"/>
    </row>
    <row r="7" spans="1:7" ht="9" customHeight="1" x14ac:dyDescent="0.2">
      <c r="A7" s="203"/>
      <c r="B7" s="203"/>
      <c r="C7" s="203"/>
      <c r="D7" s="203"/>
      <c r="E7" s="202"/>
      <c r="F7" s="202"/>
      <c r="G7" s="202"/>
    </row>
    <row r="8" spans="1:7" ht="14.25" customHeight="1" x14ac:dyDescent="0.2">
      <c r="A8" s="340" t="s">
        <v>262</v>
      </c>
      <c r="B8" s="340"/>
      <c r="C8" s="340"/>
      <c r="D8" s="340"/>
      <c r="E8" s="340"/>
      <c r="F8" s="340"/>
      <c r="G8" s="340"/>
    </row>
    <row r="9" spans="1:7" ht="14.25" customHeight="1" x14ac:dyDescent="0.2">
      <c r="A9" s="343"/>
      <c r="B9" s="344" t="s">
        <v>263</v>
      </c>
      <c r="C9" s="344"/>
      <c r="D9" s="345"/>
      <c r="E9" s="345"/>
      <c r="F9" s="345"/>
      <c r="G9" s="345"/>
    </row>
    <row r="10" spans="1:7" x14ac:dyDescent="0.2">
      <c r="A10" s="343"/>
      <c r="B10" s="346" t="s">
        <v>264</v>
      </c>
      <c r="C10" s="346"/>
      <c r="D10" s="339"/>
      <c r="E10" s="339"/>
      <c r="F10" s="339"/>
      <c r="G10" s="339"/>
    </row>
    <row r="11" spans="1:7" x14ac:dyDescent="0.2">
      <c r="A11" s="343"/>
      <c r="B11" s="346" t="s">
        <v>265</v>
      </c>
      <c r="C11" s="346"/>
      <c r="D11" s="339"/>
      <c r="E11" s="339"/>
      <c r="F11" s="339"/>
      <c r="G11" s="339"/>
    </row>
    <row r="12" spans="1:7" x14ac:dyDescent="0.2">
      <c r="A12" s="343"/>
      <c r="B12" s="346" t="s">
        <v>266</v>
      </c>
      <c r="C12" s="346"/>
      <c r="D12" s="339"/>
      <c r="E12" s="339"/>
      <c r="F12" s="339"/>
      <c r="G12" s="339"/>
    </row>
    <row r="13" spans="1:7" ht="14.25" customHeight="1" x14ac:dyDescent="0.2">
      <c r="A13" s="343"/>
      <c r="B13" s="346" t="s">
        <v>267</v>
      </c>
      <c r="C13" s="346"/>
      <c r="D13" s="339"/>
      <c r="E13" s="339"/>
      <c r="F13" s="339"/>
      <c r="G13" s="339"/>
    </row>
    <row r="14" spans="1:7" x14ac:dyDescent="0.2">
      <c r="A14" s="343"/>
      <c r="B14" s="346" t="s">
        <v>268</v>
      </c>
      <c r="C14" s="346"/>
      <c r="D14" s="339"/>
      <c r="E14" s="339"/>
      <c r="F14" s="339"/>
      <c r="G14" s="339"/>
    </row>
    <row r="15" spans="1:7" x14ac:dyDescent="0.2">
      <c r="A15" s="343"/>
      <c r="B15" s="346" t="s">
        <v>269</v>
      </c>
      <c r="C15" s="346"/>
      <c r="D15" s="339"/>
      <c r="E15" s="339"/>
      <c r="F15" s="339"/>
      <c r="G15" s="339"/>
    </row>
    <row r="16" spans="1:7" x14ac:dyDescent="0.2">
      <c r="A16" s="202"/>
      <c r="B16" s="202"/>
      <c r="C16" s="202"/>
      <c r="D16" s="202"/>
      <c r="E16" s="202"/>
      <c r="F16" s="202"/>
      <c r="G16" s="202"/>
    </row>
    <row r="17" spans="1:1024" ht="14.25" customHeight="1" x14ac:dyDescent="0.2">
      <c r="A17" s="340" t="s">
        <v>270</v>
      </c>
      <c r="B17" s="340"/>
      <c r="C17" s="340"/>
      <c r="D17" s="340"/>
      <c r="E17" s="340"/>
      <c r="F17" s="340"/>
      <c r="G17" s="340"/>
    </row>
    <row r="18" spans="1:1024" ht="14.25" customHeight="1" x14ac:dyDescent="0.2">
      <c r="A18" s="340" t="s">
        <v>271</v>
      </c>
      <c r="B18" s="340"/>
      <c r="C18" s="340"/>
      <c r="D18" s="340"/>
      <c r="E18" s="340"/>
      <c r="F18" s="340"/>
      <c r="G18" s="340"/>
    </row>
    <row r="19" spans="1:1024" ht="81" customHeight="1" x14ac:dyDescent="0.2">
      <c r="A19" s="341" t="s">
        <v>272</v>
      </c>
      <c r="B19" s="341"/>
      <c r="C19" s="341"/>
      <c r="D19" s="341"/>
      <c r="E19" s="341"/>
      <c r="F19" s="341"/>
      <c r="G19" s="341"/>
    </row>
    <row r="20" spans="1:1024" ht="42.75" x14ac:dyDescent="0.2">
      <c r="A20" s="204" t="s">
        <v>26</v>
      </c>
      <c r="B20" s="204" t="s">
        <v>273</v>
      </c>
      <c r="C20" s="204" t="s">
        <v>274</v>
      </c>
      <c r="D20" s="204" t="s">
        <v>275</v>
      </c>
      <c r="E20" s="204" t="s">
        <v>276</v>
      </c>
      <c r="F20" s="204" t="s">
        <v>277</v>
      </c>
      <c r="G20" s="204" t="s">
        <v>278</v>
      </c>
    </row>
    <row r="21" spans="1:1024" ht="14.25" customHeight="1" x14ac:dyDescent="0.2">
      <c r="A21" s="205" t="s">
        <v>279</v>
      </c>
      <c r="B21" s="336" t="s">
        <v>280</v>
      </c>
      <c r="C21" s="206" t="s">
        <v>281</v>
      </c>
      <c r="D21" s="207">
        <f>'PR-GO'!F87</f>
        <v>4308.4267716586919</v>
      </c>
      <c r="E21" s="208">
        <v>2</v>
      </c>
      <c r="F21" s="207">
        <f>D21*E21</f>
        <v>8616.8535433173838</v>
      </c>
      <c r="G21" s="223">
        <f>F21*12</f>
        <v>103402.24251980861</v>
      </c>
    </row>
    <row r="22" spans="1:1024" x14ac:dyDescent="0.2">
      <c r="A22" s="205" t="s">
        <v>282</v>
      </c>
      <c r="B22" s="336"/>
      <c r="C22" s="207" t="s">
        <v>283</v>
      </c>
      <c r="D22" s="207">
        <f>'PR-GO'!G87</f>
        <v>5966.0560747828931</v>
      </c>
      <c r="E22" s="208">
        <v>2</v>
      </c>
      <c r="F22" s="207">
        <f>D22*E22</f>
        <v>11932.112149565786</v>
      </c>
      <c r="G22" s="223">
        <f>F22*12</f>
        <v>143185.34579478943</v>
      </c>
    </row>
    <row r="23" spans="1:1024" x14ac:dyDescent="0.2">
      <c r="A23" s="205" t="s">
        <v>284</v>
      </c>
      <c r="B23" s="336"/>
      <c r="C23" s="207" t="s">
        <v>285</v>
      </c>
      <c r="D23" s="207">
        <f>'PR-GO'!H87</f>
        <v>4452.9278292261797</v>
      </c>
      <c r="E23" s="208">
        <v>2</v>
      </c>
      <c r="F23" s="207">
        <f>D23*E23</f>
        <v>8905.8556584523594</v>
      </c>
      <c r="G23" s="223">
        <f>F23*12</f>
        <v>106870.26790142831</v>
      </c>
    </row>
    <row r="24" spans="1:1024" ht="14.25" customHeight="1" x14ac:dyDescent="0.2">
      <c r="A24" s="335" t="s">
        <v>286</v>
      </c>
      <c r="B24" s="335"/>
      <c r="C24" s="335"/>
      <c r="D24" s="335"/>
      <c r="E24" s="209">
        <f>SUM(E21:E23)</f>
        <v>6</v>
      </c>
      <c r="F24" s="210">
        <f>SUM(F21:F23)</f>
        <v>29454.821351335529</v>
      </c>
      <c r="G24" s="210">
        <f>SUM(G21:G23)</f>
        <v>353457.85621602635</v>
      </c>
    </row>
    <row r="25" spans="1:1024" ht="14.25" customHeight="1" x14ac:dyDescent="0.2">
      <c r="A25" s="205" t="s">
        <v>287</v>
      </c>
      <c r="B25" s="336" t="s">
        <v>288</v>
      </c>
      <c r="C25" s="206" t="s">
        <v>281</v>
      </c>
      <c r="D25" s="207">
        <f>'PRM-ANS'!F85</f>
        <v>4404.0171585305261</v>
      </c>
      <c r="E25" s="208">
        <v>1</v>
      </c>
      <c r="F25" s="207">
        <f>D25*E25</f>
        <v>4404.0171585305261</v>
      </c>
      <c r="G25" s="223">
        <f>F25*12</f>
        <v>52848.205902366317</v>
      </c>
    </row>
    <row r="26" spans="1:1024" x14ac:dyDescent="0.2">
      <c r="A26" s="205" t="s">
        <v>289</v>
      </c>
      <c r="B26" s="336"/>
      <c r="C26" s="207" t="s">
        <v>285</v>
      </c>
      <c r="D26" s="207">
        <f>'PRM-ANS'!G85</f>
        <v>4548.518216098013</v>
      </c>
      <c r="E26" s="208">
        <v>1</v>
      </c>
      <c r="F26" s="207">
        <f>D26*E26</f>
        <v>4548.518216098013</v>
      </c>
      <c r="G26" s="223">
        <f>F26*12</f>
        <v>54582.218593176156</v>
      </c>
    </row>
    <row r="27" spans="1:1024" ht="14.25" customHeight="1" x14ac:dyDescent="0.2">
      <c r="A27" s="335" t="s">
        <v>286</v>
      </c>
      <c r="B27" s="335"/>
      <c r="C27" s="335"/>
      <c r="D27" s="335"/>
      <c r="E27" s="209">
        <f>SUM(E25:E26)</f>
        <v>2</v>
      </c>
      <c r="F27" s="210">
        <f>SUM(F25:F26)</f>
        <v>8952.53537462854</v>
      </c>
      <c r="G27" s="210">
        <f>SUM(G25:G26)</f>
        <v>107430.42449554248</v>
      </c>
    </row>
    <row r="28" spans="1:1024" x14ac:dyDescent="0.2">
      <c r="A28" s="205" t="s">
        <v>290</v>
      </c>
      <c r="B28" s="211" t="s">
        <v>291</v>
      </c>
      <c r="C28" s="207" t="s">
        <v>285</v>
      </c>
      <c r="D28" s="207">
        <f>'PRM-LUZ'!F85</f>
        <v>4339.7897784785855</v>
      </c>
      <c r="E28" s="208">
        <v>1</v>
      </c>
      <c r="F28" s="207">
        <f>D28*E28</f>
        <v>4339.7897784785855</v>
      </c>
      <c r="G28" s="223">
        <f>F28*12</f>
        <v>52077.477341743026</v>
      </c>
    </row>
    <row r="29" spans="1:1024" ht="14.25" customHeight="1" x14ac:dyDescent="0.2">
      <c r="A29" s="337" t="s">
        <v>286</v>
      </c>
      <c r="B29" s="337"/>
      <c r="C29" s="337"/>
      <c r="D29" s="337"/>
      <c r="E29" s="209">
        <f>SUM(E28)</f>
        <v>1</v>
      </c>
      <c r="F29" s="210">
        <f>F28</f>
        <v>4339.7897784785855</v>
      </c>
      <c r="G29" s="210">
        <f>SUM(G28)</f>
        <v>52077.477341743026</v>
      </c>
    </row>
    <row r="30" spans="1:1024" ht="14.25" customHeight="1" x14ac:dyDescent="0.2">
      <c r="A30" s="338" t="s">
        <v>292</v>
      </c>
      <c r="B30" s="338"/>
      <c r="C30" s="338"/>
      <c r="D30" s="338"/>
      <c r="E30" s="212">
        <f>E24+E27+E29</f>
        <v>9</v>
      </c>
      <c r="F30" s="213">
        <f>F24+F27+F29</f>
        <v>42747.146504442659</v>
      </c>
      <c r="G30" s="213">
        <f>G24+G27+G29</f>
        <v>512965.75805331185</v>
      </c>
      <c r="H30" s="224"/>
    </row>
    <row r="31" spans="1:1024" s="227" customFormat="1" ht="14.25" customHeight="1" x14ac:dyDescent="0.2">
      <c r="A31" s="214"/>
      <c r="B31" s="214"/>
      <c r="C31" s="214"/>
      <c r="D31" s="214"/>
      <c r="E31" s="215"/>
      <c r="F31" s="216"/>
      <c r="G31" s="216"/>
      <c r="H31" s="225"/>
      <c r="I31" s="226"/>
      <c r="J31" s="226"/>
      <c r="K31" s="226"/>
      <c r="L31" s="226"/>
      <c r="M31" s="226"/>
      <c r="N31" s="226"/>
      <c r="O31" s="226"/>
      <c r="P31" s="226"/>
      <c r="Q31" s="226"/>
      <c r="R31" s="226"/>
      <c r="S31" s="226"/>
      <c r="T31" s="226"/>
      <c r="U31" s="226"/>
      <c r="V31" s="226"/>
      <c r="W31" s="226"/>
      <c r="X31" s="226"/>
      <c r="Y31" s="226"/>
      <c r="Z31" s="226"/>
      <c r="AA31" s="226"/>
      <c r="AB31" s="226"/>
      <c r="AC31" s="226"/>
      <c r="AD31" s="226"/>
      <c r="AE31" s="226"/>
      <c r="AF31" s="226"/>
      <c r="AG31" s="226"/>
      <c r="AH31" s="226"/>
      <c r="AI31" s="226"/>
      <c r="AJ31" s="226"/>
      <c r="AK31" s="226"/>
      <c r="AL31" s="226"/>
      <c r="AM31" s="226"/>
      <c r="AN31" s="226"/>
      <c r="AO31" s="226"/>
      <c r="AP31" s="226"/>
      <c r="AQ31" s="226"/>
      <c r="AR31" s="226"/>
      <c r="AS31" s="226"/>
      <c r="AT31" s="226"/>
      <c r="AU31" s="226"/>
      <c r="AV31" s="226"/>
      <c r="AW31" s="226"/>
      <c r="AX31" s="226"/>
      <c r="AY31" s="226"/>
      <c r="AZ31" s="226"/>
      <c r="BA31" s="226"/>
      <c r="BB31" s="226"/>
      <c r="BC31" s="226"/>
      <c r="BD31" s="226"/>
      <c r="BE31" s="226"/>
      <c r="BF31" s="226"/>
      <c r="BG31" s="226"/>
      <c r="BH31" s="226"/>
      <c r="BI31" s="226"/>
      <c r="BJ31" s="226"/>
      <c r="BK31" s="226"/>
      <c r="BL31" s="226"/>
      <c r="BM31" s="226"/>
      <c r="BN31" s="226"/>
      <c r="BO31" s="226"/>
      <c r="BP31" s="226"/>
      <c r="BQ31" s="226"/>
      <c r="BR31" s="226"/>
      <c r="BS31" s="226"/>
      <c r="BT31" s="226"/>
      <c r="BU31" s="226"/>
      <c r="BV31" s="226"/>
      <c r="BW31" s="226"/>
      <c r="BX31" s="226"/>
      <c r="BY31" s="226"/>
      <c r="BZ31" s="226"/>
      <c r="CA31" s="226"/>
      <c r="CB31" s="226"/>
      <c r="CC31" s="226"/>
      <c r="CD31" s="226"/>
      <c r="CE31" s="226"/>
      <c r="CF31" s="226"/>
      <c r="CG31" s="226"/>
      <c r="CH31" s="226"/>
      <c r="CI31" s="226"/>
      <c r="CJ31" s="226"/>
      <c r="CK31" s="226"/>
      <c r="CL31" s="226"/>
      <c r="CM31" s="226"/>
      <c r="CN31" s="226"/>
      <c r="CO31" s="226"/>
      <c r="CP31" s="226"/>
      <c r="CQ31" s="226"/>
      <c r="CR31" s="226"/>
      <c r="CS31" s="226"/>
      <c r="CT31" s="226"/>
      <c r="CU31" s="226"/>
      <c r="CV31" s="226"/>
      <c r="CW31" s="226"/>
      <c r="CX31" s="226"/>
      <c r="CY31" s="226"/>
      <c r="CZ31" s="226"/>
      <c r="DA31" s="226"/>
      <c r="DB31" s="226"/>
      <c r="DC31" s="226"/>
      <c r="DD31" s="226"/>
      <c r="DE31" s="226"/>
      <c r="DF31" s="226"/>
      <c r="DG31" s="226"/>
      <c r="DH31" s="226"/>
      <c r="DI31" s="226"/>
      <c r="DJ31" s="226"/>
      <c r="DK31" s="226"/>
      <c r="DL31" s="226"/>
      <c r="DM31" s="226"/>
      <c r="DN31" s="226"/>
      <c r="DO31" s="226"/>
      <c r="DP31" s="226"/>
      <c r="DQ31" s="226"/>
      <c r="DR31" s="226"/>
      <c r="DS31" s="226"/>
      <c r="DT31" s="226"/>
      <c r="DU31" s="226"/>
      <c r="DV31" s="226"/>
      <c r="DW31" s="226"/>
      <c r="DX31" s="226"/>
      <c r="DY31" s="226"/>
      <c r="DZ31" s="226"/>
      <c r="EA31" s="226"/>
      <c r="EB31" s="226"/>
      <c r="EC31" s="226"/>
      <c r="ED31" s="226"/>
      <c r="EE31" s="226"/>
      <c r="EF31" s="226"/>
      <c r="EG31" s="226"/>
      <c r="EH31" s="226"/>
      <c r="EI31" s="226"/>
      <c r="EJ31" s="226"/>
      <c r="EK31" s="226"/>
      <c r="EL31" s="226"/>
      <c r="EM31" s="226"/>
      <c r="EN31" s="226"/>
      <c r="EO31" s="226"/>
      <c r="EP31" s="226"/>
      <c r="EQ31" s="226"/>
      <c r="ER31" s="226"/>
      <c r="ES31" s="226"/>
      <c r="ET31" s="226"/>
      <c r="EU31" s="226"/>
      <c r="EV31" s="226"/>
      <c r="EW31" s="226"/>
      <c r="EX31" s="226"/>
      <c r="EY31" s="226"/>
      <c r="EZ31" s="226"/>
      <c r="FA31" s="226"/>
      <c r="FB31" s="226"/>
      <c r="FC31" s="226"/>
      <c r="FD31" s="226"/>
      <c r="FE31" s="226"/>
      <c r="FF31" s="226"/>
      <c r="FG31" s="226"/>
      <c r="FH31" s="226"/>
      <c r="FI31" s="226"/>
      <c r="FJ31" s="226"/>
      <c r="FK31" s="226"/>
      <c r="FL31" s="226"/>
      <c r="FM31" s="226"/>
      <c r="FN31" s="226"/>
      <c r="FO31" s="226"/>
      <c r="FP31" s="226"/>
      <c r="FQ31" s="226"/>
      <c r="FR31" s="226"/>
      <c r="FS31" s="226"/>
      <c r="FT31" s="226"/>
      <c r="FU31" s="226"/>
      <c r="FV31" s="226"/>
      <c r="FW31" s="226"/>
      <c r="FX31" s="226"/>
      <c r="FY31" s="226"/>
      <c r="FZ31" s="226"/>
      <c r="GA31" s="226"/>
      <c r="GB31" s="226"/>
      <c r="GC31" s="226"/>
      <c r="GD31" s="226"/>
      <c r="GE31" s="226"/>
      <c r="GF31" s="226"/>
      <c r="GG31" s="226"/>
      <c r="GH31" s="226"/>
      <c r="GI31" s="226"/>
      <c r="GJ31" s="226"/>
      <c r="GK31" s="226"/>
      <c r="GL31" s="226"/>
      <c r="GM31" s="226"/>
      <c r="GN31" s="226"/>
      <c r="GO31" s="226"/>
      <c r="GP31" s="226"/>
      <c r="GQ31" s="226"/>
      <c r="GR31" s="226"/>
      <c r="GS31" s="226"/>
      <c r="GT31" s="226"/>
      <c r="GU31" s="226"/>
      <c r="GV31" s="226"/>
      <c r="GW31" s="226"/>
      <c r="GX31" s="226"/>
      <c r="GY31" s="226"/>
      <c r="GZ31" s="226"/>
      <c r="HA31" s="226"/>
      <c r="HB31" s="226"/>
      <c r="HC31" s="226"/>
      <c r="HD31" s="226"/>
      <c r="HE31" s="226"/>
      <c r="HF31" s="226"/>
      <c r="HG31" s="226"/>
      <c r="HH31" s="226"/>
      <c r="HI31" s="226"/>
      <c r="HJ31" s="226"/>
      <c r="HK31" s="226"/>
      <c r="HL31" s="226"/>
      <c r="HM31" s="226"/>
      <c r="HN31" s="226"/>
      <c r="HO31" s="226"/>
      <c r="HP31" s="226"/>
      <c r="HQ31" s="226"/>
      <c r="HR31" s="226"/>
      <c r="HS31" s="226"/>
      <c r="HT31" s="226"/>
      <c r="HU31" s="226"/>
      <c r="HV31" s="226"/>
      <c r="HW31" s="226"/>
      <c r="HX31" s="226"/>
      <c r="HY31" s="226"/>
      <c r="HZ31" s="226"/>
      <c r="IA31" s="226"/>
      <c r="IB31" s="226"/>
      <c r="IC31" s="226"/>
      <c r="ID31" s="226"/>
      <c r="IE31" s="226"/>
      <c r="IF31" s="226"/>
      <c r="IG31" s="226"/>
      <c r="IH31" s="226"/>
      <c r="II31" s="226"/>
      <c r="IJ31" s="226"/>
      <c r="IK31" s="226"/>
      <c r="IL31" s="226"/>
      <c r="IM31" s="226"/>
      <c r="IN31" s="226"/>
      <c r="IO31" s="226"/>
      <c r="IP31" s="226"/>
      <c r="IQ31" s="226"/>
      <c r="IR31" s="226"/>
      <c r="IS31" s="226"/>
      <c r="IT31" s="226"/>
      <c r="IU31" s="226"/>
      <c r="IV31" s="226"/>
      <c r="IW31" s="226"/>
      <c r="IX31" s="226"/>
      <c r="IY31" s="226"/>
      <c r="IZ31" s="226"/>
      <c r="JA31" s="226"/>
      <c r="JB31" s="226"/>
      <c r="JC31" s="226"/>
      <c r="JD31" s="226"/>
      <c r="JE31" s="226"/>
      <c r="JF31" s="226"/>
      <c r="JG31" s="226"/>
      <c r="JH31" s="226"/>
      <c r="JI31" s="226"/>
      <c r="JJ31" s="226"/>
      <c r="JK31" s="226"/>
      <c r="JL31" s="226"/>
      <c r="JM31" s="226"/>
      <c r="JN31" s="226"/>
      <c r="JO31" s="226"/>
      <c r="JP31" s="226"/>
      <c r="JQ31" s="226"/>
      <c r="JR31" s="226"/>
      <c r="JS31" s="226"/>
      <c r="JT31" s="226"/>
      <c r="JU31" s="226"/>
      <c r="JV31" s="226"/>
      <c r="JW31" s="226"/>
      <c r="JX31" s="226"/>
      <c r="JY31" s="226"/>
      <c r="JZ31" s="226"/>
      <c r="KA31" s="226"/>
      <c r="KB31" s="226"/>
      <c r="KC31" s="226"/>
      <c r="KD31" s="226"/>
      <c r="KE31" s="226"/>
      <c r="KF31" s="226"/>
      <c r="KG31" s="226"/>
      <c r="KH31" s="226"/>
      <c r="KI31" s="226"/>
      <c r="KJ31" s="226"/>
      <c r="KK31" s="226"/>
      <c r="KL31" s="226"/>
      <c r="KM31" s="226"/>
      <c r="KN31" s="226"/>
      <c r="KO31" s="226"/>
      <c r="KP31" s="226"/>
      <c r="KQ31" s="226"/>
      <c r="KR31" s="226"/>
      <c r="KS31" s="226"/>
      <c r="KT31" s="226"/>
      <c r="KU31" s="226"/>
      <c r="KV31" s="226"/>
      <c r="KW31" s="226"/>
      <c r="KX31" s="226"/>
      <c r="KY31" s="226"/>
      <c r="KZ31" s="226"/>
      <c r="LA31" s="226"/>
      <c r="LB31" s="226"/>
      <c r="LC31" s="226"/>
      <c r="LD31" s="226"/>
      <c r="LE31" s="226"/>
      <c r="LF31" s="226"/>
      <c r="LG31" s="226"/>
      <c r="LH31" s="226"/>
      <c r="LI31" s="226"/>
      <c r="LJ31" s="226"/>
      <c r="LK31" s="226"/>
      <c r="LL31" s="226"/>
      <c r="LM31" s="226"/>
      <c r="LN31" s="226"/>
      <c r="LO31" s="226"/>
      <c r="LP31" s="226"/>
      <c r="LQ31" s="226"/>
      <c r="LR31" s="226"/>
      <c r="LS31" s="226"/>
      <c r="LT31" s="226"/>
      <c r="LU31" s="226"/>
      <c r="LV31" s="226"/>
      <c r="LW31" s="226"/>
      <c r="LX31" s="226"/>
      <c r="LY31" s="226"/>
      <c r="LZ31" s="226"/>
      <c r="MA31" s="226"/>
      <c r="MB31" s="226"/>
      <c r="MC31" s="226"/>
      <c r="MD31" s="226"/>
      <c r="ME31" s="226"/>
      <c r="MF31" s="226"/>
      <c r="MG31" s="226"/>
      <c r="MH31" s="226"/>
      <c r="MI31" s="226"/>
      <c r="MJ31" s="226"/>
      <c r="MK31" s="226"/>
      <c r="ML31" s="226"/>
      <c r="MM31" s="226"/>
      <c r="MN31" s="226"/>
      <c r="MO31" s="226"/>
      <c r="MP31" s="226"/>
      <c r="MQ31" s="226"/>
      <c r="MR31" s="226"/>
      <c r="MS31" s="226"/>
      <c r="MT31" s="226"/>
      <c r="MU31" s="226"/>
      <c r="MV31" s="226"/>
      <c r="MW31" s="226"/>
      <c r="MX31" s="226"/>
      <c r="MY31" s="226"/>
      <c r="MZ31" s="226"/>
      <c r="NA31" s="226"/>
      <c r="NB31" s="226"/>
      <c r="NC31" s="226"/>
      <c r="ND31" s="226"/>
      <c r="NE31" s="226"/>
      <c r="NF31" s="226"/>
      <c r="NG31" s="226"/>
      <c r="NH31" s="226"/>
      <c r="NI31" s="226"/>
      <c r="NJ31" s="226"/>
      <c r="NK31" s="226"/>
      <c r="NL31" s="226"/>
      <c r="NM31" s="226"/>
      <c r="NN31" s="226"/>
      <c r="NO31" s="226"/>
      <c r="NP31" s="226"/>
      <c r="NQ31" s="226"/>
      <c r="NR31" s="226"/>
      <c r="NS31" s="226"/>
      <c r="NT31" s="226"/>
      <c r="NU31" s="226"/>
      <c r="NV31" s="226"/>
      <c r="NW31" s="226"/>
      <c r="NX31" s="226"/>
      <c r="NY31" s="226"/>
      <c r="NZ31" s="226"/>
      <c r="OA31" s="226"/>
      <c r="OB31" s="226"/>
      <c r="OC31" s="226"/>
      <c r="OD31" s="226"/>
      <c r="OE31" s="226"/>
      <c r="OF31" s="226"/>
      <c r="OG31" s="226"/>
      <c r="OH31" s="226"/>
      <c r="OI31" s="226"/>
      <c r="OJ31" s="226"/>
      <c r="OK31" s="226"/>
      <c r="OL31" s="226"/>
      <c r="OM31" s="226"/>
      <c r="ON31" s="226"/>
      <c r="OO31" s="226"/>
      <c r="OP31" s="226"/>
      <c r="OQ31" s="226"/>
      <c r="OR31" s="226"/>
      <c r="OS31" s="226"/>
      <c r="OT31" s="226"/>
      <c r="OU31" s="226"/>
      <c r="OV31" s="226"/>
      <c r="OW31" s="226"/>
      <c r="OX31" s="226"/>
      <c r="OY31" s="226"/>
      <c r="OZ31" s="226"/>
      <c r="PA31" s="226"/>
      <c r="PB31" s="226"/>
      <c r="PC31" s="226"/>
      <c r="PD31" s="226"/>
      <c r="PE31" s="226"/>
      <c r="PF31" s="226"/>
      <c r="PG31" s="226"/>
      <c r="PH31" s="226"/>
      <c r="PI31" s="226"/>
      <c r="PJ31" s="226"/>
      <c r="PK31" s="226"/>
      <c r="PL31" s="226"/>
      <c r="PM31" s="226"/>
      <c r="PN31" s="226"/>
      <c r="PO31" s="226"/>
      <c r="PP31" s="226"/>
      <c r="PQ31" s="226"/>
      <c r="PR31" s="226"/>
      <c r="PS31" s="226"/>
      <c r="PT31" s="226"/>
      <c r="PU31" s="226"/>
      <c r="PV31" s="226"/>
      <c r="PW31" s="226"/>
      <c r="PX31" s="226"/>
      <c r="PY31" s="226"/>
      <c r="PZ31" s="226"/>
      <c r="QA31" s="226"/>
      <c r="QB31" s="226"/>
      <c r="QC31" s="226"/>
      <c r="QD31" s="226"/>
      <c r="QE31" s="226"/>
      <c r="QF31" s="226"/>
      <c r="QG31" s="226"/>
      <c r="QH31" s="226"/>
      <c r="QI31" s="226"/>
      <c r="QJ31" s="226"/>
      <c r="QK31" s="226"/>
      <c r="QL31" s="226"/>
      <c r="QM31" s="226"/>
      <c r="QN31" s="226"/>
      <c r="QO31" s="226"/>
      <c r="QP31" s="226"/>
      <c r="QQ31" s="226"/>
      <c r="QR31" s="226"/>
      <c r="QS31" s="226"/>
      <c r="QT31" s="226"/>
      <c r="QU31" s="226"/>
      <c r="QV31" s="226"/>
      <c r="QW31" s="226"/>
      <c r="QX31" s="226"/>
      <c r="QY31" s="226"/>
      <c r="QZ31" s="226"/>
      <c r="RA31" s="226"/>
      <c r="RB31" s="226"/>
      <c r="RC31" s="226"/>
      <c r="RD31" s="226"/>
      <c r="RE31" s="226"/>
      <c r="RF31" s="226"/>
      <c r="RG31" s="226"/>
      <c r="RH31" s="226"/>
      <c r="RI31" s="226"/>
      <c r="RJ31" s="226"/>
      <c r="RK31" s="226"/>
      <c r="RL31" s="226"/>
      <c r="RM31" s="226"/>
      <c r="RN31" s="226"/>
      <c r="RO31" s="226"/>
      <c r="RP31" s="226"/>
      <c r="RQ31" s="226"/>
      <c r="RR31" s="226"/>
      <c r="RS31" s="226"/>
      <c r="RT31" s="226"/>
      <c r="RU31" s="226"/>
      <c r="RV31" s="226"/>
      <c r="RW31" s="226"/>
      <c r="RX31" s="226"/>
      <c r="RY31" s="226"/>
      <c r="RZ31" s="226"/>
      <c r="SA31" s="226"/>
      <c r="SB31" s="226"/>
      <c r="SC31" s="226"/>
      <c r="SD31" s="226"/>
      <c r="SE31" s="226"/>
      <c r="SF31" s="226"/>
      <c r="SG31" s="226"/>
      <c r="SH31" s="226"/>
      <c r="SI31" s="226"/>
      <c r="SJ31" s="226"/>
      <c r="SK31" s="226"/>
      <c r="SL31" s="226"/>
      <c r="SM31" s="226"/>
      <c r="SN31" s="226"/>
      <c r="SO31" s="226"/>
      <c r="SP31" s="226"/>
      <c r="SQ31" s="226"/>
      <c r="SR31" s="226"/>
      <c r="SS31" s="226"/>
      <c r="ST31" s="226"/>
      <c r="SU31" s="226"/>
      <c r="SV31" s="226"/>
      <c r="SW31" s="226"/>
      <c r="SX31" s="226"/>
      <c r="SY31" s="226"/>
      <c r="SZ31" s="226"/>
      <c r="TA31" s="226"/>
      <c r="TB31" s="226"/>
      <c r="TC31" s="226"/>
      <c r="TD31" s="226"/>
      <c r="TE31" s="226"/>
      <c r="TF31" s="226"/>
      <c r="TG31" s="226"/>
      <c r="TH31" s="226"/>
      <c r="TI31" s="226"/>
      <c r="TJ31" s="226"/>
      <c r="TK31" s="226"/>
      <c r="TL31" s="226"/>
      <c r="TM31" s="226"/>
      <c r="TN31" s="226"/>
      <c r="TO31" s="226"/>
      <c r="TP31" s="226"/>
      <c r="TQ31" s="226"/>
      <c r="TR31" s="226"/>
      <c r="TS31" s="226"/>
      <c r="TT31" s="226"/>
      <c r="TU31" s="226"/>
      <c r="TV31" s="226"/>
      <c r="TW31" s="226"/>
      <c r="TX31" s="226"/>
      <c r="TY31" s="226"/>
      <c r="TZ31" s="226"/>
      <c r="UA31" s="226"/>
      <c r="UB31" s="226"/>
      <c r="UC31" s="226"/>
      <c r="UD31" s="226"/>
      <c r="UE31" s="226"/>
      <c r="UF31" s="226"/>
      <c r="UG31" s="226"/>
      <c r="UH31" s="226"/>
      <c r="UI31" s="226"/>
      <c r="UJ31" s="226"/>
      <c r="UK31" s="226"/>
      <c r="UL31" s="226"/>
      <c r="UM31" s="226"/>
      <c r="UN31" s="226"/>
      <c r="UO31" s="226"/>
      <c r="UP31" s="226"/>
      <c r="UQ31" s="226"/>
      <c r="UR31" s="226"/>
      <c r="US31" s="226"/>
      <c r="UT31" s="226"/>
      <c r="UU31" s="226"/>
      <c r="UV31" s="226"/>
      <c r="UW31" s="226"/>
      <c r="UX31" s="226"/>
      <c r="UY31" s="226"/>
      <c r="UZ31" s="226"/>
      <c r="VA31" s="226"/>
      <c r="VB31" s="226"/>
      <c r="VC31" s="226"/>
      <c r="VD31" s="226"/>
      <c r="VE31" s="226"/>
      <c r="VF31" s="226"/>
      <c r="VG31" s="226"/>
      <c r="VH31" s="226"/>
      <c r="VI31" s="226"/>
      <c r="VJ31" s="226"/>
      <c r="VK31" s="226"/>
      <c r="VL31" s="226"/>
      <c r="VM31" s="226"/>
      <c r="VN31" s="226"/>
      <c r="VO31" s="226"/>
      <c r="VP31" s="226"/>
      <c r="VQ31" s="226"/>
      <c r="VR31" s="226"/>
      <c r="VS31" s="226"/>
      <c r="VT31" s="226"/>
      <c r="VU31" s="226"/>
      <c r="VV31" s="226"/>
      <c r="VW31" s="226"/>
      <c r="VX31" s="226"/>
      <c r="VY31" s="226"/>
      <c r="VZ31" s="226"/>
      <c r="WA31" s="226"/>
      <c r="WB31" s="226"/>
      <c r="WC31" s="226"/>
      <c r="WD31" s="226"/>
      <c r="WE31" s="226"/>
      <c r="WF31" s="226"/>
      <c r="WG31" s="226"/>
      <c r="WH31" s="226"/>
      <c r="WI31" s="226"/>
      <c r="WJ31" s="226"/>
      <c r="WK31" s="226"/>
      <c r="WL31" s="226"/>
      <c r="WM31" s="226"/>
      <c r="WN31" s="226"/>
      <c r="WO31" s="226"/>
      <c r="WP31" s="226"/>
      <c r="WQ31" s="226"/>
      <c r="WR31" s="226"/>
      <c r="WS31" s="226"/>
      <c r="WT31" s="226"/>
      <c r="WU31" s="226"/>
      <c r="WV31" s="226"/>
      <c r="WW31" s="226"/>
      <c r="WX31" s="226"/>
      <c r="WY31" s="226"/>
      <c r="WZ31" s="226"/>
      <c r="XA31" s="226"/>
      <c r="XB31" s="226"/>
      <c r="XC31" s="226"/>
      <c r="XD31" s="226"/>
      <c r="XE31" s="226"/>
      <c r="XF31" s="226"/>
      <c r="XG31" s="226"/>
      <c r="XH31" s="226"/>
      <c r="XI31" s="226"/>
      <c r="XJ31" s="226"/>
      <c r="XK31" s="226"/>
      <c r="XL31" s="226"/>
      <c r="XM31" s="226"/>
      <c r="XN31" s="226"/>
      <c r="XO31" s="226"/>
      <c r="XP31" s="226"/>
      <c r="XQ31" s="226"/>
      <c r="XR31" s="226"/>
      <c r="XS31" s="226"/>
      <c r="XT31" s="226"/>
      <c r="XU31" s="226"/>
      <c r="XV31" s="226"/>
      <c r="XW31" s="226"/>
      <c r="XX31" s="226"/>
      <c r="XY31" s="226"/>
      <c r="XZ31" s="226"/>
      <c r="YA31" s="226"/>
      <c r="YB31" s="226"/>
      <c r="YC31" s="226"/>
      <c r="YD31" s="226"/>
      <c r="YE31" s="226"/>
      <c r="YF31" s="226"/>
      <c r="YG31" s="226"/>
      <c r="YH31" s="226"/>
      <c r="YI31" s="226"/>
      <c r="YJ31" s="226"/>
      <c r="YK31" s="226"/>
      <c r="YL31" s="226"/>
      <c r="YM31" s="226"/>
      <c r="YN31" s="226"/>
      <c r="YO31" s="226"/>
      <c r="YP31" s="226"/>
      <c r="YQ31" s="226"/>
      <c r="YR31" s="226"/>
      <c r="YS31" s="226"/>
      <c r="YT31" s="226"/>
      <c r="YU31" s="226"/>
      <c r="YV31" s="226"/>
      <c r="YW31" s="226"/>
      <c r="YX31" s="226"/>
      <c r="YY31" s="226"/>
      <c r="YZ31" s="226"/>
      <c r="ZA31" s="226"/>
      <c r="ZB31" s="226"/>
      <c r="ZC31" s="226"/>
      <c r="ZD31" s="226"/>
      <c r="ZE31" s="226"/>
      <c r="ZF31" s="226"/>
      <c r="ZG31" s="226"/>
      <c r="ZH31" s="226"/>
      <c r="ZI31" s="226"/>
      <c r="ZJ31" s="226"/>
      <c r="ZK31" s="226"/>
      <c r="ZL31" s="226"/>
      <c r="ZM31" s="226"/>
      <c r="ZN31" s="226"/>
      <c r="ZO31" s="226"/>
      <c r="ZP31" s="226"/>
      <c r="ZQ31" s="226"/>
      <c r="ZR31" s="226"/>
      <c r="ZS31" s="226"/>
      <c r="ZT31" s="226"/>
      <c r="ZU31" s="226"/>
      <c r="ZV31" s="226"/>
      <c r="ZW31" s="226"/>
      <c r="ZX31" s="226"/>
      <c r="ZY31" s="226"/>
      <c r="ZZ31" s="226"/>
      <c r="AAA31" s="226"/>
      <c r="AAB31" s="226"/>
      <c r="AAC31" s="226"/>
      <c r="AAD31" s="226"/>
      <c r="AAE31" s="226"/>
      <c r="AAF31" s="226"/>
      <c r="AAG31" s="226"/>
      <c r="AAH31" s="226"/>
      <c r="AAI31" s="226"/>
      <c r="AAJ31" s="226"/>
      <c r="AAK31" s="226"/>
      <c r="AAL31" s="226"/>
      <c r="AAM31" s="226"/>
      <c r="AAN31" s="226"/>
      <c r="AAO31" s="226"/>
      <c r="AAP31" s="226"/>
      <c r="AAQ31" s="226"/>
      <c r="AAR31" s="226"/>
      <c r="AAS31" s="226"/>
      <c r="AAT31" s="226"/>
      <c r="AAU31" s="226"/>
      <c r="AAV31" s="226"/>
      <c r="AAW31" s="226"/>
      <c r="AAX31" s="226"/>
      <c r="AAY31" s="226"/>
      <c r="AAZ31" s="226"/>
      <c r="ABA31" s="226"/>
      <c r="ABB31" s="226"/>
      <c r="ABC31" s="226"/>
      <c r="ABD31" s="226"/>
      <c r="ABE31" s="226"/>
      <c r="ABF31" s="226"/>
      <c r="ABG31" s="226"/>
      <c r="ABH31" s="226"/>
      <c r="ABI31" s="226"/>
      <c r="ABJ31" s="226"/>
      <c r="ABK31" s="226"/>
      <c r="ABL31" s="226"/>
      <c r="ABM31" s="226"/>
      <c r="ABN31" s="226"/>
      <c r="ABO31" s="226"/>
      <c r="ABP31" s="226"/>
      <c r="ABQ31" s="226"/>
      <c r="ABR31" s="226"/>
      <c r="ABS31" s="226"/>
      <c r="ABT31" s="226"/>
      <c r="ABU31" s="226"/>
      <c r="ABV31" s="226"/>
      <c r="ABW31" s="226"/>
      <c r="ABX31" s="226"/>
      <c r="ABY31" s="226"/>
      <c r="ABZ31" s="226"/>
      <c r="ACA31" s="226"/>
      <c r="ACB31" s="226"/>
      <c r="ACC31" s="226"/>
      <c r="ACD31" s="226"/>
      <c r="ACE31" s="226"/>
      <c r="ACF31" s="226"/>
      <c r="ACG31" s="226"/>
      <c r="ACH31" s="226"/>
      <c r="ACI31" s="226"/>
      <c r="ACJ31" s="226"/>
      <c r="ACK31" s="226"/>
      <c r="ACL31" s="226"/>
      <c r="ACM31" s="226"/>
      <c r="ACN31" s="226"/>
      <c r="ACO31" s="226"/>
      <c r="ACP31" s="226"/>
      <c r="ACQ31" s="226"/>
      <c r="ACR31" s="226"/>
      <c r="ACS31" s="226"/>
      <c r="ACT31" s="226"/>
      <c r="ACU31" s="226"/>
      <c r="ACV31" s="226"/>
      <c r="ACW31" s="226"/>
      <c r="ACX31" s="226"/>
      <c r="ACY31" s="226"/>
      <c r="ACZ31" s="226"/>
      <c r="ADA31" s="226"/>
      <c r="ADB31" s="226"/>
      <c r="ADC31" s="226"/>
      <c r="ADD31" s="226"/>
      <c r="ADE31" s="226"/>
      <c r="ADF31" s="226"/>
      <c r="ADG31" s="226"/>
      <c r="ADH31" s="226"/>
      <c r="ADI31" s="226"/>
      <c r="ADJ31" s="226"/>
      <c r="ADK31" s="226"/>
      <c r="ADL31" s="226"/>
      <c r="ADM31" s="226"/>
      <c r="ADN31" s="226"/>
      <c r="ADO31" s="226"/>
      <c r="ADP31" s="226"/>
      <c r="ADQ31" s="226"/>
      <c r="ADR31" s="226"/>
      <c r="ADS31" s="226"/>
      <c r="ADT31" s="226"/>
      <c r="ADU31" s="226"/>
      <c r="ADV31" s="226"/>
      <c r="ADW31" s="226"/>
      <c r="ADX31" s="226"/>
      <c r="ADY31" s="226"/>
      <c r="ADZ31" s="226"/>
      <c r="AEA31" s="226"/>
      <c r="AEB31" s="226"/>
      <c r="AEC31" s="226"/>
      <c r="AED31" s="226"/>
      <c r="AEE31" s="226"/>
      <c r="AEF31" s="226"/>
      <c r="AEG31" s="226"/>
      <c r="AEH31" s="226"/>
      <c r="AEI31" s="226"/>
      <c r="AEJ31" s="226"/>
      <c r="AEK31" s="226"/>
      <c r="AEL31" s="226"/>
      <c r="AEM31" s="226"/>
      <c r="AEN31" s="226"/>
      <c r="AEO31" s="226"/>
      <c r="AEP31" s="226"/>
      <c r="AEQ31" s="226"/>
      <c r="AER31" s="226"/>
      <c r="AES31" s="226"/>
      <c r="AET31" s="226"/>
      <c r="AEU31" s="226"/>
      <c r="AEV31" s="226"/>
      <c r="AEW31" s="226"/>
      <c r="AEX31" s="226"/>
      <c r="AEY31" s="226"/>
      <c r="AEZ31" s="226"/>
      <c r="AFA31" s="226"/>
      <c r="AFB31" s="226"/>
      <c r="AFC31" s="226"/>
      <c r="AFD31" s="226"/>
      <c r="AFE31" s="226"/>
      <c r="AFF31" s="226"/>
      <c r="AFG31" s="226"/>
      <c r="AFH31" s="226"/>
      <c r="AFI31" s="226"/>
      <c r="AFJ31" s="226"/>
      <c r="AFK31" s="226"/>
      <c r="AFL31" s="226"/>
      <c r="AFM31" s="226"/>
      <c r="AFN31" s="226"/>
      <c r="AFO31" s="226"/>
      <c r="AFP31" s="226"/>
      <c r="AFQ31" s="226"/>
      <c r="AFR31" s="226"/>
      <c r="AFS31" s="226"/>
      <c r="AFT31" s="226"/>
      <c r="AFU31" s="226"/>
      <c r="AFV31" s="226"/>
      <c r="AFW31" s="226"/>
      <c r="AFX31" s="226"/>
      <c r="AFY31" s="226"/>
      <c r="AFZ31" s="226"/>
      <c r="AGA31" s="226"/>
      <c r="AGB31" s="226"/>
      <c r="AGC31" s="226"/>
      <c r="AGD31" s="226"/>
      <c r="AGE31" s="226"/>
      <c r="AGF31" s="226"/>
      <c r="AGG31" s="226"/>
      <c r="AGH31" s="226"/>
      <c r="AGI31" s="226"/>
      <c r="AGJ31" s="226"/>
      <c r="AGK31" s="226"/>
      <c r="AGL31" s="226"/>
      <c r="AGM31" s="226"/>
      <c r="AGN31" s="226"/>
      <c r="AGO31" s="226"/>
      <c r="AGP31" s="226"/>
      <c r="AGQ31" s="226"/>
      <c r="AGR31" s="226"/>
      <c r="AGS31" s="226"/>
      <c r="AGT31" s="226"/>
      <c r="AGU31" s="226"/>
      <c r="AGV31" s="226"/>
      <c r="AGW31" s="226"/>
      <c r="AGX31" s="226"/>
      <c r="AGY31" s="226"/>
      <c r="AGZ31" s="226"/>
      <c r="AHA31" s="226"/>
      <c r="AHB31" s="226"/>
      <c r="AHC31" s="226"/>
      <c r="AHD31" s="226"/>
      <c r="AHE31" s="226"/>
      <c r="AHF31" s="226"/>
      <c r="AHG31" s="226"/>
      <c r="AHH31" s="226"/>
      <c r="AHI31" s="226"/>
      <c r="AHJ31" s="226"/>
      <c r="AHK31" s="226"/>
      <c r="AHL31" s="226"/>
      <c r="AHM31" s="226"/>
      <c r="AHN31" s="226"/>
      <c r="AHO31" s="226"/>
      <c r="AHP31" s="226"/>
      <c r="AHQ31" s="226"/>
      <c r="AHR31" s="226"/>
      <c r="AHS31" s="226"/>
      <c r="AHT31" s="226"/>
      <c r="AHU31" s="226"/>
      <c r="AHV31" s="226"/>
      <c r="AHW31" s="226"/>
      <c r="AHX31" s="226"/>
      <c r="AHY31" s="226"/>
      <c r="AHZ31" s="226"/>
      <c r="AIA31" s="226"/>
      <c r="AIB31" s="226"/>
      <c r="AIC31" s="226"/>
      <c r="AID31" s="226"/>
      <c r="AIE31" s="226"/>
      <c r="AIF31" s="226"/>
      <c r="AIG31" s="226"/>
      <c r="AIH31" s="226"/>
      <c r="AII31" s="226"/>
      <c r="AIJ31" s="226"/>
      <c r="AIK31" s="226"/>
      <c r="AIL31" s="226"/>
      <c r="AIM31" s="226"/>
      <c r="AIN31" s="226"/>
      <c r="AIO31" s="226"/>
      <c r="AIP31" s="226"/>
      <c r="AIQ31" s="226"/>
      <c r="AIR31" s="226"/>
      <c r="AIS31" s="226"/>
      <c r="AIT31" s="226"/>
      <c r="AIU31" s="226"/>
      <c r="AIV31" s="226"/>
      <c r="AIW31" s="226"/>
      <c r="AIX31" s="226"/>
      <c r="AIY31" s="226"/>
      <c r="AIZ31" s="226"/>
      <c r="AJA31" s="226"/>
      <c r="AJB31" s="226"/>
      <c r="AJC31" s="226"/>
      <c r="AJD31" s="226"/>
      <c r="AJE31" s="226"/>
      <c r="AJF31" s="226"/>
      <c r="AJG31" s="226"/>
      <c r="AJH31" s="226"/>
      <c r="AJI31" s="226"/>
      <c r="AJJ31" s="226"/>
      <c r="AJK31" s="226"/>
      <c r="AJL31" s="226"/>
      <c r="AJM31" s="226"/>
      <c r="AJN31" s="226"/>
      <c r="AJO31" s="226"/>
      <c r="AJP31" s="226"/>
      <c r="AJQ31" s="226"/>
      <c r="AJR31" s="226"/>
      <c r="AJS31" s="226"/>
      <c r="AJT31" s="226"/>
      <c r="AJU31" s="226"/>
      <c r="AJV31" s="226"/>
      <c r="AJW31" s="226"/>
      <c r="AJX31" s="226"/>
      <c r="AJY31" s="226"/>
      <c r="AJZ31" s="226"/>
      <c r="AKA31" s="226"/>
      <c r="AKB31" s="226"/>
      <c r="AKC31" s="226"/>
      <c r="AKD31" s="226"/>
      <c r="AKE31" s="226"/>
      <c r="AKF31" s="226"/>
      <c r="AKG31" s="226"/>
      <c r="AKH31" s="226"/>
      <c r="AKI31" s="226"/>
      <c r="AKJ31" s="226"/>
      <c r="AKK31" s="226"/>
      <c r="AKL31" s="226"/>
      <c r="AKM31" s="226"/>
      <c r="AKN31" s="226"/>
      <c r="AKO31" s="226"/>
      <c r="AKP31" s="226"/>
      <c r="AKQ31" s="226"/>
      <c r="AKR31" s="226"/>
      <c r="AKS31" s="226"/>
      <c r="AKT31" s="226"/>
      <c r="AKU31" s="226"/>
      <c r="AKV31" s="226"/>
      <c r="AKW31" s="226"/>
      <c r="AKX31" s="226"/>
      <c r="AKY31" s="226"/>
      <c r="AKZ31" s="226"/>
      <c r="ALA31" s="226"/>
      <c r="ALB31" s="226"/>
      <c r="ALC31" s="226"/>
      <c r="ALD31" s="226"/>
      <c r="ALE31" s="226"/>
      <c r="ALF31" s="226"/>
      <c r="ALG31" s="226"/>
      <c r="ALH31" s="226"/>
      <c r="ALI31" s="226"/>
      <c r="ALJ31" s="226"/>
      <c r="ALK31" s="226"/>
      <c r="ALL31" s="226"/>
      <c r="ALM31" s="226"/>
      <c r="ALN31" s="226"/>
      <c r="ALO31" s="226"/>
      <c r="ALP31" s="226"/>
      <c r="ALQ31" s="226"/>
      <c r="ALR31" s="226"/>
      <c r="ALS31" s="226"/>
      <c r="ALT31" s="226"/>
      <c r="ALU31" s="226"/>
      <c r="ALV31" s="226"/>
      <c r="ALW31" s="226"/>
      <c r="ALX31" s="226"/>
      <c r="ALY31" s="226"/>
      <c r="ALZ31" s="226"/>
      <c r="AMA31" s="226"/>
      <c r="AMB31" s="226"/>
      <c r="AMC31" s="226"/>
      <c r="AMD31" s="226"/>
      <c r="AME31" s="226"/>
      <c r="AMF31" s="226"/>
      <c r="AMG31" s="226"/>
      <c r="AMH31" s="226"/>
      <c r="AMI31" s="226"/>
      <c r="AMJ31" s="226"/>
    </row>
    <row r="32" spans="1:1024" ht="14.85" customHeight="1" x14ac:dyDescent="0.2">
      <c r="A32" s="333" t="s">
        <v>293</v>
      </c>
      <c r="B32" s="333"/>
      <c r="C32" s="333"/>
      <c r="D32" s="333"/>
      <c r="E32" s="333"/>
      <c r="F32" s="333"/>
      <c r="G32" s="333"/>
      <c r="H32" s="224"/>
      <c r="I32" s="224"/>
    </row>
    <row r="33" spans="1:9" ht="29.1" customHeight="1" x14ac:dyDescent="0.2">
      <c r="A33" s="330"/>
      <c r="B33" s="330"/>
      <c r="C33" s="217" t="s">
        <v>294</v>
      </c>
      <c r="D33" s="217" t="s">
        <v>295</v>
      </c>
      <c r="E33" s="217" t="s">
        <v>296</v>
      </c>
      <c r="F33" s="217" t="s">
        <v>297</v>
      </c>
      <c r="G33" s="217" t="s">
        <v>296</v>
      </c>
      <c r="H33" s="222"/>
      <c r="I33" s="222"/>
    </row>
    <row r="34" spans="1:9" ht="21.6" customHeight="1" x14ac:dyDescent="0.2">
      <c r="A34" s="331"/>
      <c r="B34" s="331"/>
      <c r="C34" s="218">
        <v>5000</v>
      </c>
      <c r="D34" s="228">
        <v>0.14019999999999999</v>
      </c>
      <c r="E34" s="218">
        <f>ROUND(C34*(1+D34),2)</f>
        <v>5701</v>
      </c>
      <c r="F34" s="218">
        <f>E34/12</f>
        <v>475.08333333333331</v>
      </c>
      <c r="G34" s="218">
        <f>F34*12</f>
        <v>5701</v>
      </c>
      <c r="H34" s="222"/>
      <c r="I34" s="222"/>
    </row>
    <row r="35" spans="1:9" ht="36" customHeight="1" x14ac:dyDescent="0.2">
      <c r="A35" s="331"/>
      <c r="B35" s="331"/>
      <c r="C35" s="332"/>
      <c r="D35" s="332"/>
      <c r="E35" s="332"/>
      <c r="F35" s="219" t="s">
        <v>298</v>
      </c>
      <c r="G35" s="219" t="s">
        <v>299</v>
      </c>
    </row>
    <row r="36" spans="1:9" ht="29.25" customHeight="1" x14ac:dyDescent="0.2">
      <c r="A36" s="331"/>
      <c r="B36" s="331"/>
      <c r="C36" s="332"/>
      <c r="D36" s="332"/>
      <c r="E36" s="332"/>
      <c r="F36" s="229">
        <f>F34+F30</f>
        <v>43222.229837775994</v>
      </c>
      <c r="G36" s="230">
        <f>G30+G34</f>
        <v>518666.75805331185</v>
      </c>
      <c r="H36" s="222"/>
      <c r="I36" s="224"/>
    </row>
    <row r="37" spans="1:9" ht="29.25" customHeight="1" x14ac:dyDescent="0.2">
      <c r="A37" s="220"/>
      <c r="B37" s="220"/>
      <c r="C37" s="231"/>
      <c r="D37" s="231"/>
      <c r="E37" s="231"/>
      <c r="F37" s="232"/>
      <c r="G37" s="233"/>
      <c r="H37" s="222"/>
      <c r="I37" s="224"/>
    </row>
    <row r="38" spans="1:9" ht="123.4" customHeight="1" x14ac:dyDescent="0.2">
      <c r="A38" s="334" t="s">
        <v>300</v>
      </c>
      <c r="B38" s="334"/>
      <c r="C38" s="334"/>
      <c r="D38" s="334"/>
      <c r="E38" s="334"/>
      <c r="F38" s="334"/>
      <c r="G38" s="334"/>
    </row>
  </sheetData>
  <mergeCells count="35">
    <mergeCell ref="A1:G1"/>
    <mergeCell ref="A2:G2"/>
    <mergeCell ref="A3:G3"/>
    <mergeCell ref="C4:G4"/>
    <mergeCell ref="A5:G5"/>
    <mergeCell ref="A6:G6"/>
    <mergeCell ref="A8:G8"/>
    <mergeCell ref="A9:A15"/>
    <mergeCell ref="B9:C9"/>
    <mergeCell ref="D9:G9"/>
    <mergeCell ref="B10:C10"/>
    <mergeCell ref="D10:G10"/>
    <mergeCell ref="B11:C11"/>
    <mergeCell ref="D11:G11"/>
    <mergeCell ref="B12:C12"/>
    <mergeCell ref="D12:G12"/>
    <mergeCell ref="B13:C13"/>
    <mergeCell ref="D13:G13"/>
    <mergeCell ref="B14:C14"/>
    <mergeCell ref="D14:G14"/>
    <mergeCell ref="B15:C15"/>
    <mergeCell ref="D15:G15"/>
    <mergeCell ref="A17:G17"/>
    <mergeCell ref="A18:G18"/>
    <mergeCell ref="A19:G19"/>
    <mergeCell ref="B21:B23"/>
    <mergeCell ref="A33:B36"/>
    <mergeCell ref="C35:E36"/>
    <mergeCell ref="A32:G32"/>
    <mergeCell ref="A38:G38"/>
    <mergeCell ref="A24:D24"/>
    <mergeCell ref="B25:B26"/>
    <mergeCell ref="A27:D27"/>
    <mergeCell ref="A29:D29"/>
    <mergeCell ref="A30:D30"/>
  </mergeCells>
  <pageMargins left="0.196527777777778" right="0.196527777777778" top="0.19722222222222199" bottom="0.19722222222222199" header="0.31527777777777799" footer="0"/>
  <pageSetup paperSize="9" firstPageNumber="0" orientation="landscape" horizontalDpi="300" verticalDpi="300" r:id="rId1"/>
  <headerFooter>
    <oddHeader>&amp;C&amp;"Times New Roman,Normal"&amp;12&amp;A</oddHeader>
    <oddFooter>&amp;C&amp;"Times New Roman,Normal"&amp;12Página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1000"/>
  <sheetViews>
    <sheetView zoomScale="90" zoomScaleNormal="90" workbookViewId="0">
      <selection activeCell="C16" sqref="C16"/>
    </sheetView>
  </sheetViews>
  <sheetFormatPr defaultRowHeight="14.25" x14ac:dyDescent="0.25"/>
  <cols>
    <col min="1" max="1" width="2.7109375" style="1" customWidth="1"/>
    <col min="2" max="2" width="8.85546875" style="1" customWidth="1"/>
    <col min="3" max="3" width="52.5703125" style="1" customWidth="1"/>
    <col min="4" max="4" width="9.5703125" style="1" customWidth="1"/>
    <col min="5" max="5" width="13.5703125" style="1" customWidth="1"/>
    <col min="6" max="6" width="15.42578125" style="1" customWidth="1"/>
    <col min="7" max="26" width="9.140625" style="1" customWidth="1"/>
    <col min="27" max="1025" width="12.5703125" style="1" customWidth="1"/>
  </cols>
  <sheetData>
    <row r="1" spans="1:26" ht="25.5" x14ac:dyDescent="0.5">
      <c r="A1" s="3"/>
      <c r="B1" s="37" t="s">
        <v>114</v>
      </c>
      <c r="C1" s="2"/>
      <c r="D1" s="2"/>
      <c r="E1" s="2"/>
      <c r="F1" s="2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6.5" customHeight="1" x14ac:dyDescent="0.3">
      <c r="A2" s="2"/>
      <c r="B2" s="38" t="s">
        <v>46</v>
      </c>
      <c r="C2" s="2"/>
      <c r="D2" s="2"/>
      <c r="E2" s="39"/>
      <c r="F2" s="39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6.5" customHeight="1" x14ac:dyDescent="0.3">
      <c r="A3" s="2"/>
      <c r="B3" s="5">
        <v>1</v>
      </c>
      <c r="C3" s="277" t="s">
        <v>47</v>
      </c>
      <c r="D3" s="277"/>
      <c r="E3" s="277"/>
      <c r="F3" s="40" t="s">
        <v>115</v>
      </c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6.5" customHeight="1" x14ac:dyDescent="0.3">
      <c r="A4" s="2"/>
      <c r="B4" s="5" t="s">
        <v>19</v>
      </c>
      <c r="C4" s="267" t="s">
        <v>116</v>
      </c>
      <c r="D4" s="267"/>
      <c r="E4" s="267"/>
      <c r="F4" s="80">
        <v>220</v>
      </c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6.5" customHeight="1" x14ac:dyDescent="0.3">
      <c r="A5" s="2"/>
      <c r="B5" s="5" t="s">
        <v>54</v>
      </c>
      <c r="C5" s="283" t="s">
        <v>117</v>
      </c>
      <c r="D5" s="283"/>
      <c r="E5" s="283"/>
      <c r="F5" s="81">
        <v>7</v>
      </c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6.5" customHeight="1" x14ac:dyDescent="0.3">
      <c r="A6" s="2"/>
      <c r="B6" s="5" t="s">
        <v>56</v>
      </c>
      <c r="C6" s="267" t="s">
        <v>118</v>
      </c>
      <c r="D6" s="267"/>
      <c r="E6" s="267"/>
      <c r="F6" s="80">
        <v>365</v>
      </c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6.5" customHeight="1" x14ac:dyDescent="0.3">
      <c r="A7" s="2"/>
      <c r="B7" s="5" t="s">
        <v>119</v>
      </c>
      <c r="C7" s="283" t="s">
        <v>120</v>
      </c>
      <c r="D7" s="283"/>
      <c r="E7" s="283"/>
      <c r="F7" s="82">
        <v>15.2</v>
      </c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6.5" customHeight="1" x14ac:dyDescent="0.3">
      <c r="A8" s="2"/>
      <c r="B8" s="5" t="s">
        <v>121</v>
      </c>
      <c r="C8" s="267" t="s">
        <v>122</v>
      </c>
      <c r="D8" s="267"/>
      <c r="E8" s="267"/>
      <c r="F8" s="80">
        <v>12</v>
      </c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6.5" customHeight="1" x14ac:dyDescent="0.3">
      <c r="A9" s="2"/>
      <c r="B9" s="5" t="s">
        <v>123</v>
      </c>
      <c r="C9" s="283" t="s">
        <v>124</v>
      </c>
      <c r="D9" s="283"/>
      <c r="E9" s="283"/>
      <c r="F9" s="81">
        <v>60</v>
      </c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6.5" customHeight="1" x14ac:dyDescent="0.3">
      <c r="A10" s="2"/>
      <c r="B10" s="5" t="s">
        <v>125</v>
      </c>
      <c r="C10" s="267" t="s">
        <v>126</v>
      </c>
      <c r="D10" s="267"/>
      <c r="E10" s="267"/>
      <c r="F10" s="83">
        <v>52.5</v>
      </c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6.5" customHeight="1" x14ac:dyDescent="0.3">
      <c r="A11" s="48"/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</row>
    <row r="12" spans="1:26" ht="16.5" customHeight="1" x14ac:dyDescent="0.3">
      <c r="A12" s="2"/>
      <c r="B12" s="38" t="s">
        <v>64</v>
      </c>
      <c r="C12" s="3"/>
      <c r="D12" s="3"/>
      <c r="E12" s="3"/>
      <c r="F12" s="3"/>
      <c r="G12" s="48"/>
      <c r="H12" s="48"/>
      <c r="I12" s="48"/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48"/>
      <c r="W12" s="48"/>
      <c r="X12" s="48"/>
      <c r="Y12" s="48"/>
      <c r="Z12" s="48"/>
    </row>
    <row r="13" spans="1:26" ht="15" customHeight="1" x14ac:dyDescent="0.3">
      <c r="A13" s="2"/>
      <c r="B13" s="5" t="s">
        <v>65</v>
      </c>
      <c r="C13" s="277" t="s">
        <v>66</v>
      </c>
      <c r="D13" s="277"/>
      <c r="E13" s="40" t="s">
        <v>127</v>
      </c>
      <c r="F13" s="40" t="s">
        <v>90</v>
      </c>
      <c r="G13" s="48"/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48"/>
      <c r="Z13" s="48"/>
    </row>
    <row r="14" spans="1:26" ht="16.5" customHeight="1" x14ac:dyDescent="0.3">
      <c r="A14" s="48"/>
      <c r="B14" s="50" t="s">
        <v>11</v>
      </c>
      <c r="C14" s="299" t="s">
        <v>128</v>
      </c>
      <c r="D14" s="299"/>
      <c r="E14" s="8" t="s">
        <v>77</v>
      </c>
      <c r="F14" s="84">
        <v>6</v>
      </c>
      <c r="G14" s="48"/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</row>
    <row r="15" spans="1:26" ht="16.5" customHeight="1" x14ac:dyDescent="0.3">
      <c r="A15" s="48"/>
      <c r="B15" s="50" t="s">
        <v>13</v>
      </c>
      <c r="C15" s="298" t="s">
        <v>129</v>
      </c>
      <c r="D15" s="298"/>
      <c r="E15" s="85" t="s">
        <v>77</v>
      </c>
      <c r="F15" s="86">
        <v>15</v>
      </c>
      <c r="G15" s="48"/>
      <c r="H15" s="48"/>
      <c r="I15" s="48"/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48"/>
      <c r="V15" s="48"/>
      <c r="W15" s="48"/>
      <c r="X15" s="48"/>
      <c r="Y15" s="48"/>
      <c r="Z15" s="48"/>
    </row>
    <row r="16" spans="1:26" ht="16.5" customHeight="1" x14ac:dyDescent="0.3">
      <c r="A16" s="48"/>
      <c r="B16" s="50" t="s">
        <v>15</v>
      </c>
      <c r="C16" s="299" t="s">
        <v>130</v>
      </c>
      <c r="D16" s="299"/>
      <c r="E16" s="8" t="s">
        <v>77</v>
      </c>
      <c r="F16" s="84">
        <v>21</v>
      </c>
      <c r="G16" s="48"/>
      <c r="H16" s="48"/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  <c r="Z16" s="48"/>
    </row>
    <row r="17" spans="1:26" ht="16.5" customHeight="1" x14ac:dyDescent="0.3">
      <c r="A17" s="48"/>
      <c r="B17" s="48"/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</row>
    <row r="18" spans="1:26" ht="16.5" customHeight="1" x14ac:dyDescent="0.3">
      <c r="A18" s="48"/>
      <c r="B18" s="38" t="s">
        <v>131</v>
      </c>
      <c r="C18" s="61"/>
      <c r="D18" s="62"/>
      <c r="E18" s="63"/>
      <c r="F18" s="6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6.5" customHeight="1" x14ac:dyDescent="0.3">
      <c r="A19" s="48"/>
      <c r="B19" s="5">
        <v>3</v>
      </c>
      <c r="C19" s="272" t="s">
        <v>132</v>
      </c>
      <c r="D19" s="272"/>
      <c r="E19" s="272"/>
      <c r="F19" s="40" t="s">
        <v>133</v>
      </c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6.5" customHeight="1" x14ac:dyDescent="0.3">
      <c r="A20" s="48"/>
      <c r="B20" s="5" t="s">
        <v>11</v>
      </c>
      <c r="C20" s="267" t="s">
        <v>134</v>
      </c>
      <c r="D20" s="267"/>
      <c r="E20" s="267"/>
      <c r="F20" s="87">
        <v>62.93</v>
      </c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6.5" customHeight="1" x14ac:dyDescent="0.3">
      <c r="A21" s="48"/>
      <c r="B21" s="40" t="s">
        <v>13</v>
      </c>
      <c r="C21" s="286" t="s">
        <v>135</v>
      </c>
      <c r="D21" s="286"/>
      <c r="E21" s="286"/>
      <c r="F21" s="88">
        <v>5.55</v>
      </c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5.75" customHeight="1" x14ac:dyDescent="0.25">
      <c r="A22" s="3"/>
      <c r="B22" s="40" t="s">
        <v>15</v>
      </c>
      <c r="C22" s="267" t="s">
        <v>136</v>
      </c>
      <c r="D22" s="267"/>
      <c r="E22" s="267"/>
      <c r="F22" s="84">
        <v>40</v>
      </c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6.5" customHeight="1" x14ac:dyDescent="0.3">
      <c r="A23" s="48"/>
      <c r="B23" s="40" t="s">
        <v>17</v>
      </c>
      <c r="C23" s="286" t="s">
        <v>137</v>
      </c>
      <c r="D23" s="286"/>
      <c r="E23" s="286"/>
      <c r="F23" s="88">
        <v>94.45</v>
      </c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6.5" customHeight="1" x14ac:dyDescent="0.3">
      <c r="A24" s="48"/>
      <c r="B24" s="40" t="s">
        <v>19</v>
      </c>
      <c r="C24" s="267" t="s">
        <v>138</v>
      </c>
      <c r="D24" s="267"/>
      <c r="E24" s="267"/>
      <c r="F24" s="84">
        <v>30</v>
      </c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6.5" customHeight="1" x14ac:dyDescent="0.3">
      <c r="A25" s="48"/>
      <c r="B25" s="48"/>
      <c r="C25" s="48"/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48"/>
      <c r="Z25" s="48"/>
    </row>
    <row r="26" spans="1:26" ht="16.5" customHeight="1" x14ac:dyDescent="0.3">
      <c r="A26" s="3"/>
      <c r="B26" s="38" t="s">
        <v>86</v>
      </c>
      <c r="C26" s="61"/>
      <c r="D26" s="62"/>
      <c r="E26" s="2"/>
      <c r="F26" s="2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5" customHeight="1" x14ac:dyDescent="0.3">
      <c r="A27" s="3"/>
      <c r="B27" s="38" t="s">
        <v>87</v>
      </c>
      <c r="C27" s="61"/>
      <c r="D27" s="62"/>
      <c r="E27" s="63"/>
      <c r="F27" s="6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6.5" customHeight="1" x14ac:dyDescent="0.25">
      <c r="A28" s="3"/>
      <c r="B28" s="5" t="s">
        <v>88</v>
      </c>
      <c r="C28" s="277" t="s">
        <v>89</v>
      </c>
      <c r="D28" s="277"/>
      <c r="E28" s="277"/>
      <c r="F28" s="40" t="s">
        <v>133</v>
      </c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6.5" customHeight="1" x14ac:dyDescent="0.25">
      <c r="A29" s="3"/>
      <c r="B29" s="5" t="s">
        <v>11</v>
      </c>
      <c r="C29" s="267" t="s">
        <v>139</v>
      </c>
      <c r="D29" s="267"/>
      <c r="E29" s="267"/>
      <c r="F29" s="84">
        <v>8</v>
      </c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6.5" customHeight="1" x14ac:dyDescent="0.3">
      <c r="A30" s="3"/>
      <c r="B30" s="40" t="s">
        <v>13</v>
      </c>
      <c r="C30" s="266" t="s">
        <v>140</v>
      </c>
      <c r="D30" s="266"/>
      <c r="E30" s="266"/>
      <c r="F30" s="86">
        <v>5</v>
      </c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6.5" customHeight="1" x14ac:dyDescent="0.3">
      <c r="A31" s="3"/>
      <c r="B31" s="40" t="s">
        <v>15</v>
      </c>
      <c r="C31" s="267" t="s">
        <v>141</v>
      </c>
      <c r="D31" s="267"/>
      <c r="E31" s="267"/>
      <c r="F31" s="87">
        <v>1.42</v>
      </c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6.5" customHeight="1" x14ac:dyDescent="0.3">
      <c r="A32" s="3"/>
      <c r="B32" s="40" t="s">
        <v>17</v>
      </c>
      <c r="C32" s="266" t="s">
        <v>142</v>
      </c>
      <c r="D32" s="266"/>
      <c r="E32" s="266"/>
      <c r="F32" s="88">
        <v>86.46</v>
      </c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5.75" customHeight="1" x14ac:dyDescent="0.3">
      <c r="A33" s="2"/>
      <c r="B33" s="40" t="s">
        <v>19</v>
      </c>
      <c r="C33" s="267" t="s">
        <v>143</v>
      </c>
      <c r="D33" s="267"/>
      <c r="E33" s="267"/>
      <c r="F33" s="87">
        <f>(154800/34808000)*100</f>
        <v>0.44472535049413925</v>
      </c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5.75" customHeight="1" x14ac:dyDescent="0.3">
      <c r="A34" s="3"/>
      <c r="B34" s="40" t="s">
        <v>54</v>
      </c>
      <c r="C34" s="266" t="s">
        <v>144</v>
      </c>
      <c r="D34" s="266"/>
      <c r="E34" s="266"/>
      <c r="F34" s="86">
        <v>15</v>
      </c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5.75" customHeight="1" x14ac:dyDescent="0.3">
      <c r="A35" s="3"/>
      <c r="B35" s="40" t="s">
        <v>56</v>
      </c>
      <c r="C35" s="267" t="s">
        <v>145</v>
      </c>
      <c r="D35" s="267"/>
      <c r="E35" s="267"/>
      <c r="F35" s="84">
        <v>120</v>
      </c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6.5" customHeight="1" x14ac:dyDescent="0.3">
      <c r="A36" s="3"/>
      <c r="B36" s="40" t="s">
        <v>146</v>
      </c>
      <c r="C36" s="266" t="s">
        <v>147</v>
      </c>
      <c r="D36" s="266"/>
      <c r="E36" s="266"/>
      <c r="F36" s="88">
        <v>13.54</v>
      </c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6.5" customHeight="1" x14ac:dyDescent="0.3">
      <c r="A37" s="48"/>
      <c r="B37" s="48"/>
      <c r="C37" s="48"/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</row>
    <row r="38" spans="1:26" ht="16.5" customHeight="1" x14ac:dyDescent="0.3">
      <c r="A38" s="2"/>
      <c r="B38" s="76" t="s">
        <v>112</v>
      </c>
      <c r="C38" s="77"/>
      <c r="D38" s="77"/>
      <c r="E38" s="77"/>
      <c r="F38" s="78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33.75" customHeight="1" x14ac:dyDescent="0.3">
      <c r="A39" s="2"/>
      <c r="B39" s="268" t="s">
        <v>113</v>
      </c>
      <c r="C39" s="268"/>
      <c r="D39" s="268"/>
      <c r="E39" s="268"/>
      <c r="F39" s="268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6.5" customHeight="1" x14ac:dyDescent="0.3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6.5" customHeight="1" x14ac:dyDescent="0.3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6.5" customHeight="1" x14ac:dyDescent="0.3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6.5" customHeight="1" x14ac:dyDescent="0.3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6.5" customHeight="1" x14ac:dyDescent="0.3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6.5" customHeight="1" x14ac:dyDescent="0.3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6.5" customHeight="1" x14ac:dyDescent="0.3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6.5" customHeight="1" x14ac:dyDescent="0.3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6.5" customHeight="1" x14ac:dyDescent="0.3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6.5" customHeight="1" x14ac:dyDescent="0.3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6.5" customHeight="1" x14ac:dyDescent="0.3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6.5" customHeight="1" x14ac:dyDescent="0.3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6.5" customHeight="1" x14ac:dyDescent="0.3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6.5" customHeight="1" x14ac:dyDescent="0.3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6.5" customHeight="1" x14ac:dyDescent="0.3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6.5" customHeight="1" x14ac:dyDescent="0.3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6.5" customHeight="1" x14ac:dyDescent="0.3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6.5" customHeight="1" x14ac:dyDescent="0.3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6.5" customHeight="1" x14ac:dyDescent="0.3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6.5" customHeight="1" x14ac:dyDescent="0.3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6.5" customHeight="1" x14ac:dyDescent="0.3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6.5" customHeight="1" x14ac:dyDescent="0.3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6.5" customHeight="1" x14ac:dyDescent="0.3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6.5" customHeight="1" x14ac:dyDescent="0.3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6.5" customHeight="1" x14ac:dyDescent="0.3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6.5" customHeight="1" x14ac:dyDescent="0.3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6.5" customHeight="1" x14ac:dyDescent="0.3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6.5" customHeight="1" x14ac:dyDescent="0.3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6.5" customHeight="1" x14ac:dyDescent="0.3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6.5" customHeight="1" x14ac:dyDescent="0.3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6.5" customHeight="1" x14ac:dyDescent="0.3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6.5" customHeight="1" x14ac:dyDescent="0.3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6.5" customHeight="1" x14ac:dyDescent="0.3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6.5" customHeight="1" x14ac:dyDescent="0.3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6.5" customHeight="1" x14ac:dyDescent="0.3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6.5" customHeight="1" x14ac:dyDescent="0.3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6.5" customHeight="1" x14ac:dyDescent="0.3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6.5" customHeight="1" x14ac:dyDescent="0.3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6.5" customHeight="1" x14ac:dyDescent="0.3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6.5" customHeight="1" x14ac:dyDescent="0.3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6.5" customHeight="1" x14ac:dyDescent="0.3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6.5" customHeight="1" x14ac:dyDescent="0.3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6.5" customHeight="1" x14ac:dyDescent="0.3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6.5" customHeight="1" x14ac:dyDescent="0.3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6.5" customHeight="1" x14ac:dyDescent="0.3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6.5" customHeight="1" x14ac:dyDescent="0.3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6.5" customHeight="1" x14ac:dyDescent="0.3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6.5" customHeight="1" x14ac:dyDescent="0.3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6.5" customHeight="1" x14ac:dyDescent="0.3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6.5" customHeight="1" x14ac:dyDescent="0.3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6.5" customHeight="1" x14ac:dyDescent="0.3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6.5" customHeight="1" x14ac:dyDescent="0.3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6.5" customHeight="1" x14ac:dyDescent="0.3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6.5" customHeight="1" x14ac:dyDescent="0.3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6.5" customHeight="1" x14ac:dyDescent="0.3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6.5" customHeight="1" x14ac:dyDescent="0.3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6.5" customHeight="1" x14ac:dyDescent="0.3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6.5" customHeight="1" x14ac:dyDescent="0.3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6.5" customHeight="1" x14ac:dyDescent="0.3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6.5" customHeight="1" x14ac:dyDescent="0.3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6.5" customHeight="1" x14ac:dyDescent="0.3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6.5" customHeight="1" x14ac:dyDescent="0.3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6.5" customHeight="1" x14ac:dyDescent="0.3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6.5" customHeight="1" x14ac:dyDescent="0.3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6.5" customHeight="1" x14ac:dyDescent="0.3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6.5" customHeight="1" x14ac:dyDescent="0.3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6.5" customHeight="1" x14ac:dyDescent="0.3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6.5" customHeight="1" x14ac:dyDescent="0.3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6.5" customHeight="1" x14ac:dyDescent="0.3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6.5" customHeight="1" x14ac:dyDescent="0.3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6.5" customHeight="1" x14ac:dyDescent="0.3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6.5" customHeight="1" x14ac:dyDescent="0.3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6.5" customHeight="1" x14ac:dyDescent="0.3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6.5" customHeight="1" x14ac:dyDescent="0.3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6.5" customHeight="1" x14ac:dyDescent="0.3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6.5" customHeight="1" x14ac:dyDescent="0.3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6.5" customHeight="1" x14ac:dyDescent="0.3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6.5" customHeight="1" x14ac:dyDescent="0.3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6.5" customHeight="1" x14ac:dyDescent="0.3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6.5" customHeight="1" x14ac:dyDescent="0.3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6.5" customHeight="1" x14ac:dyDescent="0.3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6.5" customHeight="1" x14ac:dyDescent="0.3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6.5" customHeight="1" x14ac:dyDescent="0.3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6.5" customHeight="1" x14ac:dyDescent="0.3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6.5" customHeight="1" x14ac:dyDescent="0.3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6.5" customHeight="1" x14ac:dyDescent="0.3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6.5" customHeight="1" x14ac:dyDescent="0.3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6.5" customHeight="1" x14ac:dyDescent="0.3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6.5" customHeight="1" x14ac:dyDescent="0.3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6.5" customHeight="1" x14ac:dyDescent="0.3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6.5" customHeight="1" x14ac:dyDescent="0.3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6.5" customHeight="1" x14ac:dyDescent="0.3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6.5" customHeight="1" x14ac:dyDescent="0.3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6.5" customHeight="1" x14ac:dyDescent="0.3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6.5" customHeight="1" x14ac:dyDescent="0.3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6.5" customHeight="1" x14ac:dyDescent="0.3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6.5" customHeight="1" x14ac:dyDescent="0.3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6.5" customHeight="1" x14ac:dyDescent="0.3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6.5" customHeight="1" x14ac:dyDescent="0.3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6.5" customHeight="1" x14ac:dyDescent="0.3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6.5" customHeight="1" x14ac:dyDescent="0.3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6.5" customHeight="1" x14ac:dyDescent="0.3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6.5" customHeight="1" x14ac:dyDescent="0.3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6.5" customHeight="1" x14ac:dyDescent="0.3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6.5" customHeight="1" x14ac:dyDescent="0.3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6.5" customHeight="1" x14ac:dyDescent="0.3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6.5" customHeight="1" x14ac:dyDescent="0.3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6.5" customHeight="1" x14ac:dyDescent="0.3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6.5" customHeight="1" x14ac:dyDescent="0.3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6.5" customHeight="1" x14ac:dyDescent="0.3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6.5" customHeight="1" x14ac:dyDescent="0.3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6.5" customHeight="1" x14ac:dyDescent="0.3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6.5" customHeight="1" x14ac:dyDescent="0.3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6.5" customHeight="1" x14ac:dyDescent="0.3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6.5" customHeight="1" x14ac:dyDescent="0.3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6.5" customHeight="1" x14ac:dyDescent="0.3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6.5" customHeight="1" x14ac:dyDescent="0.3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6.5" customHeight="1" x14ac:dyDescent="0.3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6.5" customHeight="1" x14ac:dyDescent="0.3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6.5" customHeight="1" x14ac:dyDescent="0.3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6.5" customHeight="1" x14ac:dyDescent="0.3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6.5" customHeight="1" x14ac:dyDescent="0.3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6.5" customHeight="1" x14ac:dyDescent="0.3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6.5" customHeight="1" x14ac:dyDescent="0.3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6.5" customHeight="1" x14ac:dyDescent="0.3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6.5" customHeight="1" x14ac:dyDescent="0.3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6.5" customHeight="1" x14ac:dyDescent="0.3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6.5" customHeight="1" x14ac:dyDescent="0.3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6.5" customHeight="1" x14ac:dyDescent="0.3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6.5" customHeight="1" x14ac:dyDescent="0.3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6.5" customHeight="1" x14ac:dyDescent="0.3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6.5" customHeight="1" x14ac:dyDescent="0.3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6.5" customHeight="1" x14ac:dyDescent="0.3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6.5" customHeight="1" x14ac:dyDescent="0.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6.5" customHeight="1" x14ac:dyDescent="0.3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6.5" customHeight="1" x14ac:dyDescent="0.3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6.5" customHeight="1" x14ac:dyDescent="0.3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6.5" customHeight="1" x14ac:dyDescent="0.3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6.5" customHeight="1" x14ac:dyDescent="0.3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6.5" customHeight="1" x14ac:dyDescent="0.3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6.5" customHeight="1" x14ac:dyDescent="0.3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6.5" customHeight="1" x14ac:dyDescent="0.3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6.5" customHeight="1" x14ac:dyDescent="0.3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6.5" customHeight="1" x14ac:dyDescent="0.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6.5" customHeight="1" x14ac:dyDescent="0.3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6.5" customHeight="1" x14ac:dyDescent="0.3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6.5" customHeight="1" x14ac:dyDescent="0.3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6.5" customHeight="1" x14ac:dyDescent="0.3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6.5" customHeight="1" x14ac:dyDescent="0.3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6.5" customHeight="1" x14ac:dyDescent="0.3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6.5" customHeight="1" x14ac:dyDescent="0.3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6.5" customHeight="1" x14ac:dyDescent="0.3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6.5" customHeight="1" x14ac:dyDescent="0.3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6.5" customHeight="1" x14ac:dyDescent="0.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6.5" customHeight="1" x14ac:dyDescent="0.3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6.5" customHeight="1" x14ac:dyDescent="0.3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6.5" customHeight="1" x14ac:dyDescent="0.3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6.5" customHeight="1" x14ac:dyDescent="0.3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6.5" customHeight="1" x14ac:dyDescent="0.3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6.5" customHeight="1" x14ac:dyDescent="0.3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6.5" customHeight="1" x14ac:dyDescent="0.3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6.5" customHeight="1" x14ac:dyDescent="0.3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6.5" customHeight="1" x14ac:dyDescent="0.3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6.5" customHeight="1" x14ac:dyDescent="0.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6.5" customHeight="1" x14ac:dyDescent="0.3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6.5" customHeight="1" x14ac:dyDescent="0.3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6.5" customHeight="1" x14ac:dyDescent="0.3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6.5" customHeight="1" x14ac:dyDescent="0.3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6.5" customHeight="1" x14ac:dyDescent="0.3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6.5" customHeight="1" x14ac:dyDescent="0.3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6.5" customHeight="1" x14ac:dyDescent="0.3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6.5" customHeight="1" x14ac:dyDescent="0.3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6.5" customHeight="1" x14ac:dyDescent="0.3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6.5" customHeight="1" x14ac:dyDescent="0.3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6.5" customHeight="1" x14ac:dyDescent="0.3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6.5" customHeight="1" x14ac:dyDescent="0.3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6.5" customHeight="1" x14ac:dyDescent="0.3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6.5" customHeight="1" x14ac:dyDescent="0.3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6.5" customHeight="1" x14ac:dyDescent="0.3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6.5" customHeight="1" x14ac:dyDescent="0.3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6.5" customHeight="1" x14ac:dyDescent="0.3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6.5" customHeight="1" x14ac:dyDescent="0.3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6.5" customHeight="1" x14ac:dyDescent="0.3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6.5" customHeight="1" x14ac:dyDescent="0.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6.5" customHeight="1" x14ac:dyDescent="0.3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6.5" customHeight="1" x14ac:dyDescent="0.3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6.5" customHeight="1" x14ac:dyDescent="0.3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6.5" customHeight="1" x14ac:dyDescent="0.3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6.5" customHeight="1" x14ac:dyDescent="0.3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6.5" customHeight="1" x14ac:dyDescent="0.3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6.5" customHeight="1" x14ac:dyDescent="0.3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6.5" customHeight="1" x14ac:dyDescent="0.3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6.5" customHeight="1" x14ac:dyDescent="0.3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6.5" customHeight="1" x14ac:dyDescent="0.3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6.5" customHeight="1" x14ac:dyDescent="0.3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6.5" customHeight="1" x14ac:dyDescent="0.3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6.5" customHeight="1" x14ac:dyDescent="0.3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6.5" customHeight="1" x14ac:dyDescent="0.3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6.5" customHeight="1" x14ac:dyDescent="0.3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6.5" customHeight="1" x14ac:dyDescent="0.3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6.5" customHeight="1" x14ac:dyDescent="0.3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6.5" customHeight="1" x14ac:dyDescent="0.3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6.5" customHeight="1" x14ac:dyDescent="0.3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6.5" customHeight="1" x14ac:dyDescent="0.3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6.5" customHeight="1" x14ac:dyDescent="0.3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6.5" customHeight="1" x14ac:dyDescent="0.3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6.5" customHeight="1" x14ac:dyDescent="0.3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6.5" customHeight="1" x14ac:dyDescent="0.3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6.5" customHeight="1" x14ac:dyDescent="0.3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6.5" customHeight="1" x14ac:dyDescent="0.3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6.5" customHeight="1" x14ac:dyDescent="0.3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6.5" customHeight="1" x14ac:dyDescent="0.3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6.5" customHeight="1" x14ac:dyDescent="0.3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6.5" customHeight="1" x14ac:dyDescent="0.3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6.5" customHeight="1" x14ac:dyDescent="0.3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6.5" customHeight="1" x14ac:dyDescent="0.3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6.5" customHeight="1" x14ac:dyDescent="0.3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6.5" customHeight="1" x14ac:dyDescent="0.3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6.5" customHeight="1" x14ac:dyDescent="0.3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6.5" customHeight="1" x14ac:dyDescent="0.3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6.5" customHeight="1" x14ac:dyDescent="0.3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6.5" customHeight="1" x14ac:dyDescent="0.3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6.5" customHeight="1" x14ac:dyDescent="0.3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6.5" customHeight="1" x14ac:dyDescent="0.3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6.5" customHeight="1" x14ac:dyDescent="0.3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6.5" customHeight="1" x14ac:dyDescent="0.3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6.5" customHeight="1" x14ac:dyDescent="0.3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6.5" customHeight="1" x14ac:dyDescent="0.3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6.5" customHeight="1" x14ac:dyDescent="0.3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6.5" customHeight="1" x14ac:dyDescent="0.3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6.5" customHeight="1" x14ac:dyDescent="0.3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6.5" customHeight="1" x14ac:dyDescent="0.3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6.5" customHeight="1" x14ac:dyDescent="0.3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6.5" customHeight="1" x14ac:dyDescent="0.3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6.5" customHeight="1" x14ac:dyDescent="0.3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6.5" customHeight="1" x14ac:dyDescent="0.3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6.5" customHeight="1" x14ac:dyDescent="0.3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6.5" customHeight="1" x14ac:dyDescent="0.3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6.5" customHeight="1" x14ac:dyDescent="0.3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6.5" customHeight="1" x14ac:dyDescent="0.3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6.5" customHeight="1" x14ac:dyDescent="0.3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6.5" customHeight="1" x14ac:dyDescent="0.3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6.5" customHeight="1" x14ac:dyDescent="0.3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6.5" customHeight="1" x14ac:dyDescent="0.3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6.5" customHeight="1" x14ac:dyDescent="0.3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6.5" customHeight="1" x14ac:dyDescent="0.3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6.5" customHeight="1" x14ac:dyDescent="0.3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6.5" customHeight="1" x14ac:dyDescent="0.3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6.5" customHeight="1" x14ac:dyDescent="0.3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6.5" customHeight="1" x14ac:dyDescent="0.3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6.5" customHeight="1" x14ac:dyDescent="0.3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6.5" customHeight="1" x14ac:dyDescent="0.3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6.5" customHeight="1" x14ac:dyDescent="0.3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6.5" customHeight="1" x14ac:dyDescent="0.3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6.5" customHeight="1" x14ac:dyDescent="0.3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6.5" customHeight="1" x14ac:dyDescent="0.3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6.5" customHeight="1" x14ac:dyDescent="0.3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6.5" customHeight="1" x14ac:dyDescent="0.3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6.5" customHeight="1" x14ac:dyDescent="0.3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6.5" customHeight="1" x14ac:dyDescent="0.3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6.5" customHeight="1" x14ac:dyDescent="0.3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6.5" customHeight="1" x14ac:dyDescent="0.3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6.5" customHeight="1" x14ac:dyDescent="0.3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6.5" customHeight="1" x14ac:dyDescent="0.3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6.5" customHeight="1" x14ac:dyDescent="0.3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6.5" customHeight="1" x14ac:dyDescent="0.3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6.5" customHeight="1" x14ac:dyDescent="0.3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6.5" customHeight="1" x14ac:dyDescent="0.3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6.5" customHeight="1" x14ac:dyDescent="0.3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6.5" customHeight="1" x14ac:dyDescent="0.3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6.5" customHeight="1" x14ac:dyDescent="0.3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6.5" customHeight="1" x14ac:dyDescent="0.3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6.5" customHeight="1" x14ac:dyDescent="0.3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6.5" customHeight="1" x14ac:dyDescent="0.3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6.5" customHeight="1" x14ac:dyDescent="0.3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6.5" customHeight="1" x14ac:dyDescent="0.3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6.5" customHeight="1" x14ac:dyDescent="0.3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6.5" customHeight="1" x14ac:dyDescent="0.3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6.5" customHeight="1" x14ac:dyDescent="0.3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6.5" customHeight="1" x14ac:dyDescent="0.3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6.5" customHeight="1" x14ac:dyDescent="0.3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6.5" customHeight="1" x14ac:dyDescent="0.3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6.5" customHeight="1" x14ac:dyDescent="0.3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6.5" customHeight="1" x14ac:dyDescent="0.3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6.5" customHeight="1" x14ac:dyDescent="0.3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6.5" customHeight="1" x14ac:dyDescent="0.3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6.5" customHeight="1" x14ac:dyDescent="0.3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6.5" customHeight="1" x14ac:dyDescent="0.3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6.5" customHeight="1" x14ac:dyDescent="0.3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6.5" customHeight="1" x14ac:dyDescent="0.3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6.5" customHeight="1" x14ac:dyDescent="0.3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6.5" customHeight="1" x14ac:dyDescent="0.3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6.5" customHeight="1" x14ac:dyDescent="0.3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6.5" customHeight="1" x14ac:dyDescent="0.3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6.5" customHeight="1" x14ac:dyDescent="0.3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6.5" customHeight="1" x14ac:dyDescent="0.3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6.5" customHeight="1" x14ac:dyDescent="0.3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6.5" customHeight="1" x14ac:dyDescent="0.3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6.5" customHeight="1" x14ac:dyDescent="0.3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6.5" customHeight="1" x14ac:dyDescent="0.3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6.5" customHeight="1" x14ac:dyDescent="0.3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6.5" customHeight="1" x14ac:dyDescent="0.3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6.5" customHeight="1" x14ac:dyDescent="0.3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6.5" customHeight="1" x14ac:dyDescent="0.3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6.5" customHeight="1" x14ac:dyDescent="0.3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6.5" customHeight="1" x14ac:dyDescent="0.3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6.5" customHeight="1" x14ac:dyDescent="0.3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6.5" customHeight="1" x14ac:dyDescent="0.3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6.5" customHeight="1" x14ac:dyDescent="0.3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6.5" customHeight="1" x14ac:dyDescent="0.3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6.5" customHeight="1" x14ac:dyDescent="0.3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6.5" customHeight="1" x14ac:dyDescent="0.3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6.5" customHeight="1" x14ac:dyDescent="0.3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6.5" customHeight="1" x14ac:dyDescent="0.3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6.5" customHeight="1" x14ac:dyDescent="0.3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6.5" customHeight="1" x14ac:dyDescent="0.3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6.5" customHeight="1" x14ac:dyDescent="0.3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6.5" customHeight="1" x14ac:dyDescent="0.3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6.5" customHeight="1" x14ac:dyDescent="0.3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6.5" customHeight="1" x14ac:dyDescent="0.3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6.5" customHeight="1" x14ac:dyDescent="0.3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6.5" customHeight="1" x14ac:dyDescent="0.3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6.5" customHeight="1" x14ac:dyDescent="0.3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6.5" customHeight="1" x14ac:dyDescent="0.3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6.5" customHeight="1" x14ac:dyDescent="0.3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6.5" customHeight="1" x14ac:dyDescent="0.3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6.5" customHeight="1" x14ac:dyDescent="0.3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6.5" customHeight="1" x14ac:dyDescent="0.3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6.5" customHeight="1" x14ac:dyDescent="0.3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6.5" customHeight="1" x14ac:dyDescent="0.3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6.5" customHeight="1" x14ac:dyDescent="0.3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6.5" customHeight="1" x14ac:dyDescent="0.3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6.5" customHeight="1" x14ac:dyDescent="0.3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6.5" customHeight="1" x14ac:dyDescent="0.3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6.5" customHeight="1" x14ac:dyDescent="0.3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6.5" customHeight="1" x14ac:dyDescent="0.3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6.5" customHeight="1" x14ac:dyDescent="0.3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6.5" customHeight="1" x14ac:dyDescent="0.3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6.5" customHeight="1" x14ac:dyDescent="0.3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6.5" customHeight="1" x14ac:dyDescent="0.3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6.5" customHeight="1" x14ac:dyDescent="0.3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6.5" customHeight="1" x14ac:dyDescent="0.3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6.5" customHeight="1" x14ac:dyDescent="0.3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6.5" customHeight="1" x14ac:dyDescent="0.3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6.5" customHeight="1" x14ac:dyDescent="0.3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6.5" customHeight="1" x14ac:dyDescent="0.3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6.5" customHeight="1" x14ac:dyDescent="0.3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6.5" customHeight="1" x14ac:dyDescent="0.3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6.5" customHeight="1" x14ac:dyDescent="0.3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6.5" customHeight="1" x14ac:dyDescent="0.3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6.5" customHeight="1" x14ac:dyDescent="0.3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6.5" customHeight="1" x14ac:dyDescent="0.3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6.5" customHeight="1" x14ac:dyDescent="0.3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6.5" customHeight="1" x14ac:dyDescent="0.3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6.5" customHeight="1" x14ac:dyDescent="0.3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6.5" customHeight="1" x14ac:dyDescent="0.3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6.5" customHeight="1" x14ac:dyDescent="0.3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6.5" customHeight="1" x14ac:dyDescent="0.3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6.5" customHeight="1" x14ac:dyDescent="0.3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6.5" customHeight="1" x14ac:dyDescent="0.3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6.5" customHeight="1" x14ac:dyDescent="0.3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6.5" customHeight="1" x14ac:dyDescent="0.3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6.5" customHeight="1" x14ac:dyDescent="0.3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6.5" customHeight="1" x14ac:dyDescent="0.3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6.5" customHeight="1" x14ac:dyDescent="0.3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6.5" customHeight="1" x14ac:dyDescent="0.3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6.5" customHeight="1" x14ac:dyDescent="0.3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6.5" customHeight="1" x14ac:dyDescent="0.3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6.5" customHeight="1" x14ac:dyDescent="0.3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6.5" customHeight="1" x14ac:dyDescent="0.3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6.5" customHeight="1" x14ac:dyDescent="0.3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6.5" customHeight="1" x14ac:dyDescent="0.3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6.5" customHeight="1" x14ac:dyDescent="0.3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6.5" customHeight="1" x14ac:dyDescent="0.3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6.5" customHeight="1" x14ac:dyDescent="0.3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6.5" customHeight="1" x14ac:dyDescent="0.3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6.5" customHeight="1" x14ac:dyDescent="0.3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6.5" customHeight="1" x14ac:dyDescent="0.3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6.5" customHeight="1" x14ac:dyDescent="0.3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6.5" customHeight="1" x14ac:dyDescent="0.3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6.5" customHeight="1" x14ac:dyDescent="0.3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6.5" customHeight="1" x14ac:dyDescent="0.3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6.5" customHeight="1" x14ac:dyDescent="0.3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6.5" customHeight="1" x14ac:dyDescent="0.3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6.5" customHeight="1" x14ac:dyDescent="0.3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6.5" customHeight="1" x14ac:dyDescent="0.3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6.5" customHeight="1" x14ac:dyDescent="0.3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6.5" customHeight="1" x14ac:dyDescent="0.3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6.5" customHeight="1" x14ac:dyDescent="0.3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6.5" customHeight="1" x14ac:dyDescent="0.3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6.5" customHeight="1" x14ac:dyDescent="0.3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6.5" customHeight="1" x14ac:dyDescent="0.3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6.5" customHeight="1" x14ac:dyDescent="0.3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6.5" customHeight="1" x14ac:dyDescent="0.3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6.5" customHeight="1" x14ac:dyDescent="0.3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6.5" customHeight="1" x14ac:dyDescent="0.3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6.5" customHeight="1" x14ac:dyDescent="0.3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6.5" customHeight="1" x14ac:dyDescent="0.3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6.5" customHeight="1" x14ac:dyDescent="0.3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6.5" customHeight="1" x14ac:dyDescent="0.3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6.5" customHeight="1" x14ac:dyDescent="0.3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6.5" customHeight="1" x14ac:dyDescent="0.3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6.5" customHeight="1" x14ac:dyDescent="0.3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6.5" customHeight="1" x14ac:dyDescent="0.3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6.5" customHeight="1" x14ac:dyDescent="0.3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6.5" customHeight="1" x14ac:dyDescent="0.3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6.5" customHeight="1" x14ac:dyDescent="0.3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6.5" customHeight="1" x14ac:dyDescent="0.3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6.5" customHeight="1" x14ac:dyDescent="0.3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6.5" customHeight="1" x14ac:dyDescent="0.3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6.5" customHeight="1" x14ac:dyDescent="0.3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6.5" customHeight="1" x14ac:dyDescent="0.3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6.5" customHeight="1" x14ac:dyDescent="0.3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6.5" customHeight="1" x14ac:dyDescent="0.3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6.5" customHeight="1" x14ac:dyDescent="0.3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6.5" customHeight="1" x14ac:dyDescent="0.3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6.5" customHeight="1" x14ac:dyDescent="0.3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6.5" customHeight="1" x14ac:dyDescent="0.3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6.5" customHeight="1" x14ac:dyDescent="0.3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6.5" customHeight="1" x14ac:dyDescent="0.3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6.5" customHeight="1" x14ac:dyDescent="0.3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6.5" customHeight="1" x14ac:dyDescent="0.3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6.5" customHeight="1" x14ac:dyDescent="0.3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6.5" customHeight="1" x14ac:dyDescent="0.3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6.5" customHeight="1" x14ac:dyDescent="0.3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6.5" customHeight="1" x14ac:dyDescent="0.3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6.5" customHeight="1" x14ac:dyDescent="0.3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6.5" customHeight="1" x14ac:dyDescent="0.3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6.5" customHeight="1" x14ac:dyDescent="0.3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6.5" customHeight="1" x14ac:dyDescent="0.3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6.5" customHeight="1" x14ac:dyDescent="0.3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6.5" customHeight="1" x14ac:dyDescent="0.3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6.5" customHeight="1" x14ac:dyDescent="0.3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6.5" customHeight="1" x14ac:dyDescent="0.3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6.5" customHeight="1" x14ac:dyDescent="0.3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6.5" customHeight="1" x14ac:dyDescent="0.3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6.5" customHeight="1" x14ac:dyDescent="0.3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6.5" customHeight="1" x14ac:dyDescent="0.3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6.5" customHeight="1" x14ac:dyDescent="0.3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6.5" customHeight="1" x14ac:dyDescent="0.3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6.5" customHeight="1" x14ac:dyDescent="0.3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6.5" customHeight="1" x14ac:dyDescent="0.3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6.5" customHeight="1" x14ac:dyDescent="0.3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6.5" customHeight="1" x14ac:dyDescent="0.3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6.5" customHeight="1" x14ac:dyDescent="0.3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6.5" customHeight="1" x14ac:dyDescent="0.3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6.5" customHeight="1" x14ac:dyDescent="0.3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6.5" customHeight="1" x14ac:dyDescent="0.3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6.5" customHeight="1" x14ac:dyDescent="0.3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6.5" customHeight="1" x14ac:dyDescent="0.3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6.5" customHeight="1" x14ac:dyDescent="0.3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6.5" customHeight="1" x14ac:dyDescent="0.3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6.5" customHeight="1" x14ac:dyDescent="0.3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6.5" customHeight="1" x14ac:dyDescent="0.3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6.5" customHeight="1" x14ac:dyDescent="0.3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6.5" customHeight="1" x14ac:dyDescent="0.3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6.5" customHeight="1" x14ac:dyDescent="0.3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6.5" customHeight="1" x14ac:dyDescent="0.3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6.5" customHeight="1" x14ac:dyDescent="0.3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6.5" customHeight="1" x14ac:dyDescent="0.3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6.5" customHeight="1" x14ac:dyDescent="0.3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6.5" customHeight="1" x14ac:dyDescent="0.3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6.5" customHeight="1" x14ac:dyDescent="0.3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6.5" customHeight="1" x14ac:dyDescent="0.3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6.5" customHeight="1" x14ac:dyDescent="0.3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6.5" customHeight="1" x14ac:dyDescent="0.3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6.5" customHeight="1" x14ac:dyDescent="0.3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6.5" customHeight="1" x14ac:dyDescent="0.3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6.5" customHeight="1" x14ac:dyDescent="0.3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6.5" customHeight="1" x14ac:dyDescent="0.3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6.5" customHeight="1" x14ac:dyDescent="0.3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6.5" customHeight="1" x14ac:dyDescent="0.3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6.5" customHeight="1" x14ac:dyDescent="0.3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6.5" customHeight="1" x14ac:dyDescent="0.3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6.5" customHeight="1" x14ac:dyDescent="0.3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6.5" customHeight="1" x14ac:dyDescent="0.3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6.5" customHeight="1" x14ac:dyDescent="0.3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6.5" customHeight="1" x14ac:dyDescent="0.3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6.5" customHeight="1" x14ac:dyDescent="0.3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6.5" customHeight="1" x14ac:dyDescent="0.3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6.5" customHeight="1" x14ac:dyDescent="0.3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6.5" customHeight="1" x14ac:dyDescent="0.3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6.5" customHeight="1" x14ac:dyDescent="0.3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6.5" customHeight="1" x14ac:dyDescent="0.3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6.5" customHeight="1" x14ac:dyDescent="0.3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6.5" customHeight="1" x14ac:dyDescent="0.3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6.5" customHeight="1" x14ac:dyDescent="0.3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6.5" customHeight="1" x14ac:dyDescent="0.3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6.5" customHeight="1" x14ac:dyDescent="0.3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6.5" customHeight="1" x14ac:dyDescent="0.3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6.5" customHeight="1" x14ac:dyDescent="0.3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6.5" customHeight="1" x14ac:dyDescent="0.3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6.5" customHeight="1" x14ac:dyDescent="0.3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6.5" customHeight="1" x14ac:dyDescent="0.3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6.5" customHeight="1" x14ac:dyDescent="0.3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6.5" customHeight="1" x14ac:dyDescent="0.3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6.5" customHeight="1" x14ac:dyDescent="0.3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6.5" customHeight="1" x14ac:dyDescent="0.3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6.5" customHeight="1" x14ac:dyDescent="0.3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6.5" customHeight="1" x14ac:dyDescent="0.3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6.5" customHeight="1" x14ac:dyDescent="0.3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6.5" customHeight="1" x14ac:dyDescent="0.3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6.5" customHeight="1" x14ac:dyDescent="0.3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6.5" customHeight="1" x14ac:dyDescent="0.3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6.5" customHeight="1" x14ac:dyDescent="0.3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6.5" customHeight="1" x14ac:dyDescent="0.3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6.5" customHeight="1" x14ac:dyDescent="0.3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6.5" customHeight="1" x14ac:dyDescent="0.3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6.5" customHeight="1" x14ac:dyDescent="0.3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6.5" customHeight="1" x14ac:dyDescent="0.3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6.5" customHeight="1" x14ac:dyDescent="0.3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6.5" customHeight="1" x14ac:dyDescent="0.3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6.5" customHeight="1" x14ac:dyDescent="0.3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6.5" customHeight="1" x14ac:dyDescent="0.3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6.5" customHeight="1" x14ac:dyDescent="0.3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6.5" customHeight="1" x14ac:dyDescent="0.3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6.5" customHeight="1" x14ac:dyDescent="0.3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6.5" customHeight="1" x14ac:dyDescent="0.3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6.5" customHeight="1" x14ac:dyDescent="0.3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6.5" customHeight="1" x14ac:dyDescent="0.3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6.5" customHeight="1" x14ac:dyDescent="0.3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6.5" customHeight="1" x14ac:dyDescent="0.3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6.5" customHeight="1" x14ac:dyDescent="0.3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6.5" customHeight="1" x14ac:dyDescent="0.3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6.5" customHeight="1" x14ac:dyDescent="0.3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6.5" customHeight="1" x14ac:dyDescent="0.3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6.5" customHeight="1" x14ac:dyDescent="0.3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6.5" customHeight="1" x14ac:dyDescent="0.3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6.5" customHeight="1" x14ac:dyDescent="0.3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6.5" customHeight="1" x14ac:dyDescent="0.3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6.5" customHeight="1" x14ac:dyDescent="0.3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6.5" customHeight="1" x14ac:dyDescent="0.3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6.5" customHeight="1" x14ac:dyDescent="0.3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6.5" customHeight="1" x14ac:dyDescent="0.3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6.5" customHeight="1" x14ac:dyDescent="0.3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6.5" customHeight="1" x14ac:dyDescent="0.3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6.5" customHeight="1" x14ac:dyDescent="0.3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6.5" customHeight="1" x14ac:dyDescent="0.3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6.5" customHeight="1" x14ac:dyDescent="0.3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6.5" customHeight="1" x14ac:dyDescent="0.3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6.5" customHeight="1" x14ac:dyDescent="0.3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6.5" customHeight="1" x14ac:dyDescent="0.3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6.5" customHeight="1" x14ac:dyDescent="0.3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6.5" customHeight="1" x14ac:dyDescent="0.3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6.5" customHeight="1" x14ac:dyDescent="0.3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6.5" customHeight="1" x14ac:dyDescent="0.3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6.5" customHeight="1" x14ac:dyDescent="0.3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6.5" customHeight="1" x14ac:dyDescent="0.3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6.5" customHeight="1" x14ac:dyDescent="0.3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6.5" customHeight="1" x14ac:dyDescent="0.3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6.5" customHeight="1" x14ac:dyDescent="0.3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6.5" customHeight="1" x14ac:dyDescent="0.3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6.5" customHeight="1" x14ac:dyDescent="0.3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6.5" customHeight="1" x14ac:dyDescent="0.3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6.5" customHeight="1" x14ac:dyDescent="0.3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6.5" customHeight="1" x14ac:dyDescent="0.3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6.5" customHeight="1" x14ac:dyDescent="0.3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6.5" customHeight="1" x14ac:dyDescent="0.3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6.5" customHeight="1" x14ac:dyDescent="0.3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6.5" customHeight="1" x14ac:dyDescent="0.3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6.5" customHeight="1" x14ac:dyDescent="0.3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6.5" customHeight="1" x14ac:dyDescent="0.3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6.5" customHeight="1" x14ac:dyDescent="0.3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6.5" customHeight="1" x14ac:dyDescent="0.3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6.5" customHeight="1" x14ac:dyDescent="0.3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6.5" customHeight="1" x14ac:dyDescent="0.3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6.5" customHeight="1" x14ac:dyDescent="0.3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6.5" customHeight="1" x14ac:dyDescent="0.3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6.5" customHeight="1" x14ac:dyDescent="0.3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6.5" customHeight="1" x14ac:dyDescent="0.3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6.5" customHeight="1" x14ac:dyDescent="0.3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6.5" customHeight="1" x14ac:dyDescent="0.3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6.5" customHeight="1" x14ac:dyDescent="0.3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6.5" customHeight="1" x14ac:dyDescent="0.3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6.5" customHeight="1" x14ac:dyDescent="0.3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6.5" customHeight="1" x14ac:dyDescent="0.3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6.5" customHeight="1" x14ac:dyDescent="0.3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6.5" customHeight="1" x14ac:dyDescent="0.3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6.5" customHeight="1" x14ac:dyDescent="0.3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6.5" customHeight="1" x14ac:dyDescent="0.3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6.5" customHeight="1" x14ac:dyDescent="0.3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6.5" customHeight="1" x14ac:dyDescent="0.3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6.5" customHeight="1" x14ac:dyDescent="0.3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6.5" customHeight="1" x14ac:dyDescent="0.3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6.5" customHeight="1" x14ac:dyDescent="0.3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6.5" customHeight="1" x14ac:dyDescent="0.3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6.5" customHeight="1" x14ac:dyDescent="0.3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6.5" customHeight="1" x14ac:dyDescent="0.3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6.5" customHeight="1" x14ac:dyDescent="0.3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6.5" customHeight="1" x14ac:dyDescent="0.3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6.5" customHeight="1" x14ac:dyDescent="0.3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6.5" customHeight="1" x14ac:dyDescent="0.3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6.5" customHeight="1" x14ac:dyDescent="0.3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6.5" customHeight="1" x14ac:dyDescent="0.3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6.5" customHeight="1" x14ac:dyDescent="0.3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6.5" customHeight="1" x14ac:dyDescent="0.3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6.5" customHeight="1" x14ac:dyDescent="0.3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6.5" customHeight="1" x14ac:dyDescent="0.3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6.5" customHeight="1" x14ac:dyDescent="0.3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6.5" customHeight="1" x14ac:dyDescent="0.3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6.5" customHeight="1" x14ac:dyDescent="0.3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6.5" customHeight="1" x14ac:dyDescent="0.3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6.5" customHeight="1" x14ac:dyDescent="0.3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6.5" customHeight="1" x14ac:dyDescent="0.3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6.5" customHeight="1" x14ac:dyDescent="0.3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6.5" customHeight="1" x14ac:dyDescent="0.3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6.5" customHeight="1" x14ac:dyDescent="0.3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6.5" customHeight="1" x14ac:dyDescent="0.3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6.5" customHeight="1" x14ac:dyDescent="0.3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6.5" customHeight="1" x14ac:dyDescent="0.3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6.5" customHeight="1" x14ac:dyDescent="0.3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6.5" customHeight="1" x14ac:dyDescent="0.3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6.5" customHeight="1" x14ac:dyDescent="0.3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6.5" customHeight="1" x14ac:dyDescent="0.3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6.5" customHeight="1" x14ac:dyDescent="0.3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6.5" customHeight="1" x14ac:dyDescent="0.3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6.5" customHeight="1" x14ac:dyDescent="0.3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6.5" customHeight="1" x14ac:dyDescent="0.3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6.5" customHeight="1" x14ac:dyDescent="0.3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6.5" customHeight="1" x14ac:dyDescent="0.3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6.5" customHeight="1" x14ac:dyDescent="0.3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6.5" customHeight="1" x14ac:dyDescent="0.3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6.5" customHeight="1" x14ac:dyDescent="0.3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6.5" customHeight="1" x14ac:dyDescent="0.3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6.5" customHeight="1" x14ac:dyDescent="0.3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6.5" customHeight="1" x14ac:dyDescent="0.3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6.5" customHeight="1" x14ac:dyDescent="0.3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6.5" customHeight="1" x14ac:dyDescent="0.3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6.5" customHeight="1" x14ac:dyDescent="0.3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6.5" customHeight="1" x14ac:dyDescent="0.3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6.5" customHeight="1" x14ac:dyDescent="0.3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6.5" customHeight="1" x14ac:dyDescent="0.3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6.5" customHeight="1" x14ac:dyDescent="0.3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6.5" customHeight="1" x14ac:dyDescent="0.3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6.5" customHeight="1" x14ac:dyDescent="0.3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6.5" customHeight="1" x14ac:dyDescent="0.3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6.5" customHeight="1" x14ac:dyDescent="0.3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6.5" customHeight="1" x14ac:dyDescent="0.3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6.5" customHeight="1" x14ac:dyDescent="0.3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6.5" customHeight="1" x14ac:dyDescent="0.3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6.5" customHeight="1" x14ac:dyDescent="0.3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6.5" customHeight="1" x14ac:dyDescent="0.3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6.5" customHeight="1" x14ac:dyDescent="0.3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6.5" customHeight="1" x14ac:dyDescent="0.3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6.5" customHeight="1" x14ac:dyDescent="0.3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6.5" customHeight="1" x14ac:dyDescent="0.3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6.5" customHeight="1" x14ac:dyDescent="0.3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6.5" customHeight="1" x14ac:dyDescent="0.3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6.5" customHeight="1" x14ac:dyDescent="0.3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6.5" customHeight="1" x14ac:dyDescent="0.3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6.5" customHeight="1" x14ac:dyDescent="0.3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6.5" customHeight="1" x14ac:dyDescent="0.3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6.5" customHeight="1" x14ac:dyDescent="0.3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6.5" customHeight="1" x14ac:dyDescent="0.3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6.5" customHeight="1" x14ac:dyDescent="0.3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6.5" customHeight="1" x14ac:dyDescent="0.3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6.5" customHeight="1" x14ac:dyDescent="0.3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6.5" customHeight="1" x14ac:dyDescent="0.3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6.5" customHeight="1" x14ac:dyDescent="0.3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6.5" customHeight="1" x14ac:dyDescent="0.3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6.5" customHeight="1" x14ac:dyDescent="0.3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6.5" customHeight="1" x14ac:dyDescent="0.3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6.5" customHeight="1" x14ac:dyDescent="0.3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6.5" customHeight="1" x14ac:dyDescent="0.3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6.5" customHeight="1" x14ac:dyDescent="0.3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6.5" customHeight="1" x14ac:dyDescent="0.3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6.5" customHeight="1" x14ac:dyDescent="0.3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6.5" customHeight="1" x14ac:dyDescent="0.3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6.5" customHeight="1" x14ac:dyDescent="0.3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6.5" customHeight="1" x14ac:dyDescent="0.3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6.5" customHeight="1" x14ac:dyDescent="0.3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6.5" customHeight="1" x14ac:dyDescent="0.3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6.5" customHeight="1" x14ac:dyDescent="0.3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6.5" customHeight="1" x14ac:dyDescent="0.3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6.5" customHeight="1" x14ac:dyDescent="0.3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6.5" customHeight="1" x14ac:dyDescent="0.3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6.5" customHeight="1" x14ac:dyDescent="0.3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6.5" customHeight="1" x14ac:dyDescent="0.3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6.5" customHeight="1" x14ac:dyDescent="0.3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6.5" customHeight="1" x14ac:dyDescent="0.3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6.5" customHeight="1" x14ac:dyDescent="0.3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6.5" customHeight="1" x14ac:dyDescent="0.3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6.5" customHeight="1" x14ac:dyDescent="0.3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6.5" customHeight="1" x14ac:dyDescent="0.3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6.5" customHeight="1" x14ac:dyDescent="0.3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6.5" customHeight="1" x14ac:dyDescent="0.3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6.5" customHeight="1" x14ac:dyDescent="0.3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6.5" customHeight="1" x14ac:dyDescent="0.3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6.5" customHeight="1" x14ac:dyDescent="0.3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6.5" customHeight="1" x14ac:dyDescent="0.3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6.5" customHeight="1" x14ac:dyDescent="0.3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6.5" customHeight="1" x14ac:dyDescent="0.3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6.5" customHeight="1" x14ac:dyDescent="0.3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6.5" customHeight="1" x14ac:dyDescent="0.3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6.5" customHeight="1" x14ac:dyDescent="0.3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6.5" customHeight="1" x14ac:dyDescent="0.3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6.5" customHeight="1" x14ac:dyDescent="0.3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6.5" customHeight="1" x14ac:dyDescent="0.3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6.5" customHeight="1" x14ac:dyDescent="0.3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6.5" customHeight="1" x14ac:dyDescent="0.3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6.5" customHeight="1" x14ac:dyDescent="0.3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6.5" customHeight="1" x14ac:dyDescent="0.3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6.5" customHeight="1" x14ac:dyDescent="0.3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6.5" customHeight="1" x14ac:dyDescent="0.3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6.5" customHeight="1" x14ac:dyDescent="0.3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6.5" customHeight="1" x14ac:dyDescent="0.3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6.5" customHeight="1" x14ac:dyDescent="0.3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6.5" customHeight="1" x14ac:dyDescent="0.3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6.5" customHeight="1" x14ac:dyDescent="0.3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6.5" customHeight="1" x14ac:dyDescent="0.3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6.5" customHeight="1" x14ac:dyDescent="0.3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6.5" customHeight="1" x14ac:dyDescent="0.3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6.5" customHeight="1" x14ac:dyDescent="0.3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6.5" customHeight="1" x14ac:dyDescent="0.3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6.5" customHeight="1" x14ac:dyDescent="0.3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6.5" customHeight="1" x14ac:dyDescent="0.3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6.5" customHeight="1" x14ac:dyDescent="0.3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6.5" customHeight="1" x14ac:dyDescent="0.3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6.5" customHeight="1" x14ac:dyDescent="0.3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6.5" customHeight="1" x14ac:dyDescent="0.3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6.5" customHeight="1" x14ac:dyDescent="0.3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6.5" customHeight="1" x14ac:dyDescent="0.3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6.5" customHeight="1" x14ac:dyDescent="0.3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6.5" customHeight="1" x14ac:dyDescent="0.3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6.5" customHeight="1" x14ac:dyDescent="0.3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6.5" customHeight="1" x14ac:dyDescent="0.3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6.5" customHeight="1" x14ac:dyDescent="0.3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6.5" customHeight="1" x14ac:dyDescent="0.3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6.5" customHeight="1" x14ac:dyDescent="0.3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6.5" customHeight="1" x14ac:dyDescent="0.3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6.5" customHeight="1" x14ac:dyDescent="0.3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6.5" customHeight="1" x14ac:dyDescent="0.3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6.5" customHeight="1" x14ac:dyDescent="0.3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6.5" customHeight="1" x14ac:dyDescent="0.3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6.5" customHeight="1" x14ac:dyDescent="0.3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6.5" customHeight="1" x14ac:dyDescent="0.3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6.5" customHeight="1" x14ac:dyDescent="0.3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6.5" customHeight="1" x14ac:dyDescent="0.3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6.5" customHeight="1" x14ac:dyDescent="0.3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6.5" customHeight="1" x14ac:dyDescent="0.3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6.5" customHeight="1" x14ac:dyDescent="0.3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6.5" customHeight="1" x14ac:dyDescent="0.3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6.5" customHeight="1" x14ac:dyDescent="0.3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6.5" customHeight="1" x14ac:dyDescent="0.3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6.5" customHeight="1" x14ac:dyDescent="0.3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6.5" customHeight="1" x14ac:dyDescent="0.3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6.5" customHeight="1" x14ac:dyDescent="0.3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6.5" customHeight="1" x14ac:dyDescent="0.3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6.5" customHeight="1" x14ac:dyDescent="0.3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6.5" customHeight="1" x14ac:dyDescent="0.3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6.5" customHeight="1" x14ac:dyDescent="0.3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6.5" customHeight="1" x14ac:dyDescent="0.3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6.5" customHeight="1" x14ac:dyDescent="0.3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6.5" customHeight="1" x14ac:dyDescent="0.3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6.5" customHeight="1" x14ac:dyDescent="0.3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6.5" customHeight="1" x14ac:dyDescent="0.3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6.5" customHeight="1" x14ac:dyDescent="0.3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6.5" customHeight="1" x14ac:dyDescent="0.3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6.5" customHeight="1" x14ac:dyDescent="0.3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6.5" customHeight="1" x14ac:dyDescent="0.3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6.5" customHeight="1" x14ac:dyDescent="0.3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6.5" customHeight="1" x14ac:dyDescent="0.3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6.5" customHeight="1" x14ac:dyDescent="0.3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6.5" customHeight="1" x14ac:dyDescent="0.3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6.5" customHeight="1" x14ac:dyDescent="0.3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6.5" customHeight="1" x14ac:dyDescent="0.3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6.5" customHeight="1" x14ac:dyDescent="0.3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6.5" customHeight="1" x14ac:dyDescent="0.3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6.5" customHeight="1" x14ac:dyDescent="0.3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6.5" customHeight="1" x14ac:dyDescent="0.3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6.5" customHeight="1" x14ac:dyDescent="0.3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6.5" customHeight="1" x14ac:dyDescent="0.3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6.5" customHeight="1" x14ac:dyDescent="0.3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6.5" customHeight="1" x14ac:dyDescent="0.3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6.5" customHeight="1" x14ac:dyDescent="0.3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6.5" customHeight="1" x14ac:dyDescent="0.3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6.5" customHeight="1" x14ac:dyDescent="0.3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6.5" customHeight="1" x14ac:dyDescent="0.3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6.5" customHeight="1" x14ac:dyDescent="0.3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6.5" customHeight="1" x14ac:dyDescent="0.3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6.5" customHeight="1" x14ac:dyDescent="0.3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6.5" customHeight="1" x14ac:dyDescent="0.3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6.5" customHeight="1" x14ac:dyDescent="0.3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6.5" customHeight="1" x14ac:dyDescent="0.3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6.5" customHeight="1" x14ac:dyDescent="0.3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6.5" customHeight="1" x14ac:dyDescent="0.3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6.5" customHeight="1" x14ac:dyDescent="0.3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6.5" customHeight="1" x14ac:dyDescent="0.3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6.5" customHeight="1" x14ac:dyDescent="0.3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6.5" customHeight="1" x14ac:dyDescent="0.3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6.5" customHeight="1" x14ac:dyDescent="0.3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6.5" customHeight="1" x14ac:dyDescent="0.3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6.5" customHeight="1" x14ac:dyDescent="0.3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6.5" customHeight="1" x14ac:dyDescent="0.3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6.5" customHeight="1" x14ac:dyDescent="0.3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6.5" customHeight="1" x14ac:dyDescent="0.3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6.5" customHeight="1" x14ac:dyDescent="0.3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6.5" customHeight="1" x14ac:dyDescent="0.3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6.5" customHeight="1" x14ac:dyDescent="0.3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6.5" customHeight="1" x14ac:dyDescent="0.3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6.5" customHeight="1" x14ac:dyDescent="0.3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6.5" customHeight="1" x14ac:dyDescent="0.3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6.5" customHeight="1" x14ac:dyDescent="0.3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6.5" customHeight="1" x14ac:dyDescent="0.3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6.5" customHeight="1" x14ac:dyDescent="0.3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6.5" customHeight="1" x14ac:dyDescent="0.3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6.5" customHeight="1" x14ac:dyDescent="0.3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6.5" customHeight="1" x14ac:dyDescent="0.3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6.5" customHeight="1" x14ac:dyDescent="0.3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6.5" customHeight="1" x14ac:dyDescent="0.3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6.5" customHeight="1" x14ac:dyDescent="0.3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6.5" customHeight="1" x14ac:dyDescent="0.3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6.5" customHeight="1" x14ac:dyDescent="0.3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6.5" customHeight="1" x14ac:dyDescent="0.3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6.5" customHeight="1" x14ac:dyDescent="0.3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6.5" customHeight="1" x14ac:dyDescent="0.3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6.5" customHeight="1" x14ac:dyDescent="0.3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6.5" customHeight="1" x14ac:dyDescent="0.3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6.5" customHeight="1" x14ac:dyDescent="0.3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6.5" customHeight="1" x14ac:dyDescent="0.3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6.5" customHeight="1" x14ac:dyDescent="0.3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6.5" customHeight="1" x14ac:dyDescent="0.3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6.5" customHeight="1" x14ac:dyDescent="0.3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6.5" customHeight="1" x14ac:dyDescent="0.3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6.5" customHeight="1" x14ac:dyDescent="0.3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6.5" customHeight="1" x14ac:dyDescent="0.3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6.5" customHeight="1" x14ac:dyDescent="0.3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6.5" customHeight="1" x14ac:dyDescent="0.3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6.5" customHeight="1" x14ac:dyDescent="0.3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6.5" customHeight="1" x14ac:dyDescent="0.3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6.5" customHeight="1" x14ac:dyDescent="0.3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6.5" customHeight="1" x14ac:dyDescent="0.3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6.5" customHeight="1" x14ac:dyDescent="0.3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6.5" customHeight="1" x14ac:dyDescent="0.3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6.5" customHeight="1" x14ac:dyDescent="0.3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6.5" customHeight="1" x14ac:dyDescent="0.3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6.5" customHeight="1" x14ac:dyDescent="0.3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6.5" customHeight="1" x14ac:dyDescent="0.3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6.5" customHeight="1" x14ac:dyDescent="0.3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6.5" customHeight="1" x14ac:dyDescent="0.3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6.5" customHeight="1" x14ac:dyDescent="0.3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6.5" customHeight="1" x14ac:dyDescent="0.3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6.5" customHeight="1" x14ac:dyDescent="0.3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6.5" customHeight="1" x14ac:dyDescent="0.3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6.5" customHeight="1" x14ac:dyDescent="0.3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6.5" customHeight="1" x14ac:dyDescent="0.3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6.5" customHeight="1" x14ac:dyDescent="0.3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6.5" customHeight="1" x14ac:dyDescent="0.3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6.5" customHeight="1" x14ac:dyDescent="0.3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6.5" customHeight="1" x14ac:dyDescent="0.3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6.5" customHeight="1" x14ac:dyDescent="0.3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6.5" customHeight="1" x14ac:dyDescent="0.3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6.5" customHeight="1" x14ac:dyDescent="0.3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6.5" customHeight="1" x14ac:dyDescent="0.3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6.5" customHeight="1" x14ac:dyDescent="0.3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6.5" customHeight="1" x14ac:dyDescent="0.3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6.5" customHeight="1" x14ac:dyDescent="0.3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6.5" customHeight="1" x14ac:dyDescent="0.3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6.5" customHeight="1" x14ac:dyDescent="0.3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6.5" customHeight="1" x14ac:dyDescent="0.3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6.5" customHeight="1" x14ac:dyDescent="0.3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6.5" customHeight="1" x14ac:dyDescent="0.3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6.5" customHeight="1" x14ac:dyDescent="0.3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6.5" customHeight="1" x14ac:dyDescent="0.3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6.5" customHeight="1" x14ac:dyDescent="0.3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6.5" customHeight="1" x14ac:dyDescent="0.3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6.5" customHeight="1" x14ac:dyDescent="0.3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6.5" customHeight="1" x14ac:dyDescent="0.3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6.5" customHeight="1" x14ac:dyDescent="0.3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6.5" customHeight="1" x14ac:dyDescent="0.3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6.5" customHeight="1" x14ac:dyDescent="0.3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6.5" customHeight="1" x14ac:dyDescent="0.3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6.5" customHeight="1" x14ac:dyDescent="0.3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6.5" customHeight="1" x14ac:dyDescent="0.3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6.5" customHeight="1" x14ac:dyDescent="0.3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6.5" customHeight="1" x14ac:dyDescent="0.3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6.5" customHeight="1" x14ac:dyDescent="0.3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6.5" customHeight="1" x14ac:dyDescent="0.3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6.5" customHeight="1" x14ac:dyDescent="0.3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6.5" customHeight="1" x14ac:dyDescent="0.3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6.5" customHeight="1" x14ac:dyDescent="0.3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6.5" customHeight="1" x14ac:dyDescent="0.3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6.5" customHeight="1" x14ac:dyDescent="0.3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6.5" customHeight="1" x14ac:dyDescent="0.3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6.5" customHeight="1" x14ac:dyDescent="0.3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6.5" customHeight="1" x14ac:dyDescent="0.3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6.5" customHeight="1" x14ac:dyDescent="0.3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6.5" customHeight="1" x14ac:dyDescent="0.3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6.5" customHeight="1" x14ac:dyDescent="0.3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6.5" customHeight="1" x14ac:dyDescent="0.3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6.5" customHeight="1" x14ac:dyDescent="0.3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6.5" customHeight="1" x14ac:dyDescent="0.3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6.5" customHeight="1" x14ac:dyDescent="0.3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6.5" customHeight="1" x14ac:dyDescent="0.3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6.5" customHeight="1" x14ac:dyDescent="0.3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6.5" customHeight="1" x14ac:dyDescent="0.3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6.5" customHeight="1" x14ac:dyDescent="0.3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6.5" customHeight="1" x14ac:dyDescent="0.3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6.5" customHeight="1" x14ac:dyDescent="0.3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6.5" customHeight="1" x14ac:dyDescent="0.3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6.5" customHeight="1" x14ac:dyDescent="0.3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6.5" customHeight="1" x14ac:dyDescent="0.3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6.5" customHeight="1" x14ac:dyDescent="0.3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6.5" customHeight="1" x14ac:dyDescent="0.3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6.5" customHeight="1" x14ac:dyDescent="0.3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6.5" customHeight="1" x14ac:dyDescent="0.3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6.5" customHeight="1" x14ac:dyDescent="0.3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6.5" customHeight="1" x14ac:dyDescent="0.3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6.5" customHeight="1" x14ac:dyDescent="0.3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6.5" customHeight="1" x14ac:dyDescent="0.3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6.5" customHeight="1" x14ac:dyDescent="0.3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6.5" customHeight="1" x14ac:dyDescent="0.3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6.5" customHeight="1" x14ac:dyDescent="0.3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6.5" customHeight="1" x14ac:dyDescent="0.3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6.5" customHeight="1" x14ac:dyDescent="0.3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6.5" customHeight="1" x14ac:dyDescent="0.3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6.5" customHeight="1" x14ac:dyDescent="0.3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6.5" customHeight="1" x14ac:dyDescent="0.3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6.5" customHeight="1" x14ac:dyDescent="0.3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6.5" customHeight="1" x14ac:dyDescent="0.3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6.5" customHeight="1" x14ac:dyDescent="0.3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6.5" customHeight="1" x14ac:dyDescent="0.3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6.5" customHeight="1" x14ac:dyDescent="0.3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6.5" customHeight="1" x14ac:dyDescent="0.3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6.5" customHeight="1" x14ac:dyDescent="0.3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6.5" customHeight="1" x14ac:dyDescent="0.3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6.5" customHeight="1" x14ac:dyDescent="0.3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6.5" customHeight="1" x14ac:dyDescent="0.3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6.5" customHeight="1" x14ac:dyDescent="0.3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6.5" customHeight="1" x14ac:dyDescent="0.3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6.5" customHeight="1" x14ac:dyDescent="0.3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6.5" customHeight="1" x14ac:dyDescent="0.3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6.5" customHeight="1" x14ac:dyDescent="0.3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6.5" customHeight="1" x14ac:dyDescent="0.3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6.5" customHeight="1" x14ac:dyDescent="0.3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6.5" customHeight="1" x14ac:dyDescent="0.3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6.5" customHeight="1" x14ac:dyDescent="0.3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6.5" customHeight="1" x14ac:dyDescent="0.3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6.5" customHeight="1" x14ac:dyDescent="0.3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6.5" customHeight="1" x14ac:dyDescent="0.3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6.5" customHeight="1" x14ac:dyDescent="0.3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6.5" customHeight="1" x14ac:dyDescent="0.3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6.5" customHeight="1" x14ac:dyDescent="0.3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6.5" customHeight="1" x14ac:dyDescent="0.3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6.5" customHeight="1" x14ac:dyDescent="0.3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6.5" customHeight="1" x14ac:dyDescent="0.3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6.5" customHeight="1" x14ac:dyDescent="0.3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6.5" customHeight="1" x14ac:dyDescent="0.3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6.5" customHeight="1" x14ac:dyDescent="0.3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6.5" customHeight="1" x14ac:dyDescent="0.3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6.5" customHeight="1" x14ac:dyDescent="0.3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6.5" customHeight="1" x14ac:dyDescent="0.3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6.5" customHeight="1" x14ac:dyDescent="0.3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6.5" customHeight="1" x14ac:dyDescent="0.3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6.5" customHeight="1" x14ac:dyDescent="0.3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6.5" customHeight="1" x14ac:dyDescent="0.3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6.5" customHeight="1" x14ac:dyDescent="0.3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6.5" customHeight="1" x14ac:dyDescent="0.3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6.5" customHeight="1" x14ac:dyDescent="0.3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6.5" customHeight="1" x14ac:dyDescent="0.3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6.5" customHeight="1" x14ac:dyDescent="0.3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sheetProtection sheet="1" objects="1" scenarios="1"/>
  <mergeCells count="28">
    <mergeCell ref="C3:E3"/>
    <mergeCell ref="C4:E4"/>
    <mergeCell ref="C5:E5"/>
    <mergeCell ref="C6:E6"/>
    <mergeCell ref="C7:E7"/>
    <mergeCell ref="C8:E8"/>
    <mergeCell ref="C9:E9"/>
    <mergeCell ref="C10:E10"/>
    <mergeCell ref="C13:D13"/>
    <mergeCell ref="C14:D14"/>
    <mergeCell ref="C15:D15"/>
    <mergeCell ref="C16:D16"/>
    <mergeCell ref="C19:E19"/>
    <mergeCell ref="C20:E20"/>
    <mergeCell ref="C21:E21"/>
    <mergeCell ref="C22:E22"/>
    <mergeCell ref="C23:E23"/>
    <mergeCell ref="C24:E24"/>
    <mergeCell ref="C28:E28"/>
    <mergeCell ref="C29:E29"/>
    <mergeCell ref="C35:E35"/>
    <mergeCell ref="C36:E36"/>
    <mergeCell ref="B39:F39"/>
    <mergeCell ref="C30:E30"/>
    <mergeCell ref="C31:E31"/>
    <mergeCell ref="C32:E32"/>
    <mergeCell ref="C33:E33"/>
    <mergeCell ref="C34:E34"/>
  </mergeCells>
  <pageMargins left="0.17013888888888901" right="0.17013888888888901" top="0.29027777777777802" bottom="0.78749999999999998" header="0.51180555555555496" footer="0.51180555555555496"/>
  <pageSetup paperSize="9"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K1000"/>
  <sheetViews>
    <sheetView topLeftCell="A7" zoomScale="90" zoomScaleNormal="90" workbookViewId="0">
      <selection activeCell="C22" sqref="C22"/>
    </sheetView>
  </sheetViews>
  <sheetFormatPr defaultRowHeight="14.25" x14ac:dyDescent="0.25"/>
  <cols>
    <col min="1" max="1" width="2.7109375" style="1" customWidth="1"/>
    <col min="2" max="2" width="8.85546875" style="1" customWidth="1"/>
    <col min="3" max="3" width="52.5703125" style="1" customWidth="1"/>
    <col min="4" max="4" width="22" style="1" customWidth="1"/>
    <col min="5" max="5" width="7" style="1" customWidth="1"/>
    <col min="6" max="6" width="46" style="1" customWidth="1"/>
    <col min="7" max="26" width="9.140625" style="1" customWidth="1"/>
    <col min="27" max="1025" width="12.5703125" style="1" customWidth="1"/>
  </cols>
  <sheetData>
    <row r="1" spans="1:26" ht="25.5" x14ac:dyDescent="0.5">
      <c r="A1" s="3"/>
      <c r="B1" s="37" t="s">
        <v>148</v>
      </c>
      <c r="C1" s="2"/>
      <c r="D1" s="2"/>
      <c r="E1" s="2"/>
      <c r="F1" s="2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6.5" x14ac:dyDescent="0.3">
      <c r="A2" s="2"/>
      <c r="B2" s="38" t="s">
        <v>58</v>
      </c>
      <c r="C2" s="2"/>
      <c r="D2" s="2"/>
      <c r="E2" s="49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6.5" x14ac:dyDescent="0.3">
      <c r="A3" s="2"/>
      <c r="B3" s="38" t="s">
        <v>149</v>
      </c>
      <c r="C3" s="61"/>
      <c r="D3" s="62"/>
      <c r="E3" s="63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6.5" x14ac:dyDescent="0.3">
      <c r="A4" s="2"/>
      <c r="B4" s="5" t="s">
        <v>150</v>
      </c>
      <c r="C4" s="272" t="s">
        <v>151</v>
      </c>
      <c r="D4" s="272"/>
      <c r="E4" s="40" t="s">
        <v>90</v>
      </c>
      <c r="F4" s="40" t="s">
        <v>152</v>
      </c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6.5" customHeight="1" x14ac:dyDescent="0.3">
      <c r="A5" s="2"/>
      <c r="B5" s="5" t="s">
        <v>11</v>
      </c>
      <c r="C5" s="267" t="s">
        <v>153</v>
      </c>
      <c r="D5" s="267"/>
      <c r="E5" s="89">
        <f>(1/MESES_NO_ANO)*100</f>
        <v>8.3333333333333321</v>
      </c>
      <c r="F5" s="89" t="s">
        <v>154</v>
      </c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6.5" customHeight="1" x14ac:dyDescent="0.3">
      <c r="A6" s="2"/>
      <c r="B6" s="40" t="s">
        <v>13</v>
      </c>
      <c r="C6" s="266" t="s">
        <v>155</v>
      </c>
      <c r="D6" s="266"/>
      <c r="E6" s="90">
        <f>(1/3)/MESES_NO_ANO*100</f>
        <v>2.7777777777777777</v>
      </c>
      <c r="F6" s="90" t="s">
        <v>156</v>
      </c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6.5" customHeight="1" x14ac:dyDescent="0.3">
      <c r="A7" s="48"/>
      <c r="B7" s="301" t="s">
        <v>157</v>
      </c>
      <c r="C7" s="301"/>
      <c r="D7" s="301"/>
      <c r="E7" s="301"/>
      <c r="F7" s="301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</row>
    <row r="8" spans="1:26" ht="16.5" customHeight="1" x14ac:dyDescent="0.3">
      <c r="A8" s="48"/>
      <c r="B8" s="5" t="s">
        <v>60</v>
      </c>
      <c r="C8" s="277" t="s">
        <v>158</v>
      </c>
      <c r="D8" s="277"/>
      <c r="E8" s="40" t="s">
        <v>90</v>
      </c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</row>
    <row r="9" spans="1:26" ht="16.5" customHeight="1" x14ac:dyDescent="0.3">
      <c r="A9" s="2"/>
      <c r="B9" s="5" t="s">
        <v>11</v>
      </c>
      <c r="C9" s="267" t="s">
        <v>159</v>
      </c>
      <c r="D9" s="267"/>
      <c r="E9" s="89">
        <v>20</v>
      </c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6.5" customHeight="1" x14ac:dyDescent="0.25">
      <c r="A10" s="3"/>
      <c r="B10" s="40" t="s">
        <v>13</v>
      </c>
      <c r="C10" s="266" t="s">
        <v>160</v>
      </c>
      <c r="D10" s="266"/>
      <c r="E10" s="91">
        <v>2.5</v>
      </c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6.5" customHeight="1" x14ac:dyDescent="0.25">
      <c r="A11" s="3"/>
      <c r="B11" s="40" t="s">
        <v>15</v>
      </c>
      <c r="C11" s="267" t="s">
        <v>161</v>
      </c>
      <c r="D11" s="267"/>
      <c r="E11" s="89">
        <f>IF(FAP&lt;&gt;"",3*FAP,3)</f>
        <v>3</v>
      </c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6.5" customHeight="1" x14ac:dyDescent="0.25">
      <c r="A12" s="3"/>
      <c r="B12" s="40" t="s">
        <v>17</v>
      </c>
      <c r="C12" s="266" t="s">
        <v>162</v>
      </c>
      <c r="D12" s="266"/>
      <c r="E12" s="90">
        <v>1.5</v>
      </c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6.5" customHeight="1" x14ac:dyDescent="0.25">
      <c r="A13" s="3"/>
      <c r="B13" s="40" t="s">
        <v>19</v>
      </c>
      <c r="C13" s="267" t="s">
        <v>163</v>
      </c>
      <c r="D13" s="267"/>
      <c r="E13" s="89">
        <v>1</v>
      </c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6.5" customHeight="1" x14ac:dyDescent="0.25">
      <c r="A14" s="3"/>
      <c r="B14" s="40" t="s">
        <v>54</v>
      </c>
      <c r="C14" s="266" t="s">
        <v>164</v>
      </c>
      <c r="D14" s="266"/>
      <c r="E14" s="91">
        <v>0.6</v>
      </c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6.5" customHeight="1" x14ac:dyDescent="0.25">
      <c r="A15" s="3"/>
      <c r="B15" s="40" t="s">
        <v>56</v>
      </c>
      <c r="C15" s="267" t="s">
        <v>165</v>
      </c>
      <c r="D15" s="267"/>
      <c r="E15" s="89">
        <v>0.2</v>
      </c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6.5" customHeight="1" x14ac:dyDescent="0.3">
      <c r="A16" s="2"/>
      <c r="B16" s="40" t="s">
        <v>146</v>
      </c>
      <c r="C16" s="266" t="s">
        <v>166</v>
      </c>
      <c r="D16" s="266"/>
      <c r="E16" s="91">
        <v>8</v>
      </c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6.5" x14ac:dyDescent="0.3">
      <c r="A17" s="2"/>
      <c r="B17" s="272" t="s">
        <v>167</v>
      </c>
      <c r="C17" s="272"/>
      <c r="D17" s="272"/>
      <c r="E17" s="92">
        <f>SUM(E9:E16)</f>
        <v>36.799999999999997</v>
      </c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6.5" x14ac:dyDescent="0.3">
      <c r="A18" s="48"/>
      <c r="B18" s="38" t="s">
        <v>131</v>
      </c>
      <c r="C18" s="61"/>
      <c r="D18" s="62"/>
      <c r="E18" s="63"/>
      <c r="F18" s="48"/>
      <c r="G18" s="48"/>
      <c r="H18" s="48"/>
      <c r="I18" s="48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  <c r="X18" s="48"/>
      <c r="Y18" s="48"/>
      <c r="Z18" s="48"/>
    </row>
    <row r="19" spans="1:26" ht="16.5" x14ac:dyDescent="0.3">
      <c r="A19" s="48"/>
      <c r="B19" s="5">
        <v>3</v>
      </c>
      <c r="C19" s="272" t="s">
        <v>132</v>
      </c>
      <c r="D19" s="272"/>
      <c r="E19" s="40" t="s">
        <v>90</v>
      </c>
      <c r="F19" s="40" t="s">
        <v>152</v>
      </c>
      <c r="G19" s="48"/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48"/>
      <c r="V19" s="48"/>
      <c r="W19" s="48"/>
      <c r="X19" s="48"/>
      <c r="Y19" s="48"/>
      <c r="Z19" s="48"/>
    </row>
    <row r="20" spans="1:26" ht="16.5" x14ac:dyDescent="0.3">
      <c r="A20" s="48"/>
      <c r="B20" s="5" t="s">
        <v>11</v>
      </c>
      <c r="C20" s="282" t="s">
        <v>168</v>
      </c>
      <c r="D20" s="282"/>
      <c r="E20" s="89">
        <f>PERC_EMPREG_DEMIT_SEM_JUSTA_CAUSA_TOTAL_DESLIG%*PERC_EMPREG_AVISO_PREVIO_IND%*1/MESES_NO_ANO*100</f>
        <v>0.29105124999999998</v>
      </c>
      <c r="F20" s="89" t="s">
        <v>169</v>
      </c>
      <c r="G20" s="48"/>
      <c r="H20" s="48"/>
      <c r="I20" s="48"/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48"/>
    </row>
    <row r="21" spans="1:26" ht="16.5" x14ac:dyDescent="0.3">
      <c r="A21" s="48"/>
      <c r="B21" s="40" t="s">
        <v>13</v>
      </c>
      <c r="C21" s="286" t="s">
        <v>170</v>
      </c>
      <c r="D21" s="286"/>
      <c r="E21" s="91">
        <f>PERC_AVISO_PREVIO_IND%*PERC_FGTS%*100</f>
        <v>2.3284099999999999E-2</v>
      </c>
      <c r="F21" s="90" t="s">
        <v>171</v>
      </c>
      <c r="G21" s="48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  <c r="Z21" s="48"/>
    </row>
    <row r="22" spans="1:26" ht="16.5" x14ac:dyDescent="0.25">
      <c r="A22" s="3"/>
      <c r="B22" s="40" t="s">
        <v>15</v>
      </c>
      <c r="C22" s="282" t="s">
        <v>172</v>
      </c>
      <c r="D22" s="282"/>
      <c r="E22" s="89">
        <f>PERC_EMPREG_DEMIT_SEM_JUSTA_CAUSA_TOTAL_DESLIG%*PERC_EMPREG_AVISO_PREVIO_IND%*(PERC_MULTA_FGTS%)*PERC_FGTS%*100</f>
        <v>0.11176368</v>
      </c>
      <c r="F22" s="89" t="s">
        <v>173</v>
      </c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6.5" x14ac:dyDescent="0.3">
      <c r="A23" s="48"/>
      <c r="B23" s="40" t="s">
        <v>17</v>
      </c>
      <c r="C23" s="286" t="s">
        <v>174</v>
      </c>
      <c r="D23" s="286"/>
      <c r="E23" s="91">
        <f>PERC_EMPREG_DEMIT_SEM_JUSTA_CAUSA_TOTAL_DESLIG%*PERC_EMPREG_AVISO_PREVIO_TRAB%*(DIAS_NA_SEMANA/DIAS_NO_MES)/MESES_NO_ANO*100</f>
        <v>1.1557269305555555</v>
      </c>
      <c r="F23" s="90" t="s">
        <v>175</v>
      </c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/>
    </row>
    <row r="24" spans="1:26" ht="16.5" x14ac:dyDescent="0.3">
      <c r="A24" s="48"/>
      <c r="B24" s="40" t="s">
        <v>19</v>
      </c>
      <c r="C24" s="282" t="s">
        <v>176</v>
      </c>
      <c r="D24" s="282"/>
      <c r="E24" s="89">
        <f>PERC_GPS_FGTS%*PERC_AVISO_PREVIO_TRAB%*100</f>
        <v>0.42530751044444437</v>
      </c>
      <c r="F24" s="89" t="s">
        <v>177</v>
      </c>
      <c r="G24" s="48"/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  <c r="Z24" s="48"/>
    </row>
    <row r="25" spans="1:26" ht="16.5" x14ac:dyDescent="0.25">
      <c r="A25" s="3"/>
      <c r="B25" s="40" t="s">
        <v>54</v>
      </c>
      <c r="C25" s="286" t="s">
        <v>178</v>
      </c>
      <c r="D25" s="286"/>
      <c r="E25" s="91">
        <f>PERC_EMPREG_DEMIT_SEM_JUSTA_CAUSA_TOTAL_DESLIG%*PERC_EMPREG_AVISO_PREVIO_TRAB%*(PERC_MULTA_FGTS%)*PERC_FGTS%*100</f>
        <v>1.9019963200000001</v>
      </c>
      <c r="F25" s="90" t="s">
        <v>179</v>
      </c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6.5" x14ac:dyDescent="0.3">
      <c r="A26" s="3"/>
      <c r="B26" s="38" t="s">
        <v>86</v>
      </c>
      <c r="C26" s="61"/>
      <c r="D26" s="62"/>
      <c r="E26" s="2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6.5" x14ac:dyDescent="0.3">
      <c r="A27" s="3"/>
      <c r="B27" s="38" t="s">
        <v>87</v>
      </c>
      <c r="C27" s="61"/>
      <c r="D27" s="62"/>
      <c r="E27" s="6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6.5" customHeight="1" x14ac:dyDescent="0.25">
      <c r="A28" s="3"/>
      <c r="B28" s="5" t="s">
        <v>88</v>
      </c>
      <c r="C28" s="277" t="s">
        <v>89</v>
      </c>
      <c r="D28" s="277"/>
      <c r="E28" s="40" t="s">
        <v>90</v>
      </c>
      <c r="F28" s="40" t="s">
        <v>152</v>
      </c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6.5" customHeight="1" x14ac:dyDescent="0.25">
      <c r="A29" s="3"/>
      <c r="B29" s="40" t="s">
        <v>11</v>
      </c>
      <c r="C29" s="267" t="s">
        <v>180</v>
      </c>
      <c r="D29" s="267"/>
      <c r="E29" s="89">
        <f>(1/MESES_NO_ANO)*100</f>
        <v>8.3333333333333321</v>
      </c>
      <c r="F29" s="89" t="s">
        <v>181</v>
      </c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6.5" x14ac:dyDescent="0.25">
      <c r="A30" s="3"/>
      <c r="B30" s="40" t="s">
        <v>13</v>
      </c>
      <c r="C30" s="6" t="s">
        <v>182</v>
      </c>
      <c r="D30" s="6"/>
      <c r="E30" s="91">
        <f>(DIAS_AUSENCIAS_LEGAIS/DIAS_NO_MES)/MESES_NO_ANO*100</f>
        <v>2.2222222222222223</v>
      </c>
      <c r="F30" s="90" t="s">
        <v>183</v>
      </c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6.5" customHeight="1" x14ac:dyDescent="0.25">
      <c r="A31" s="3"/>
      <c r="B31" s="40" t="s">
        <v>15</v>
      </c>
      <c r="C31" s="267" t="s">
        <v>184</v>
      </c>
      <c r="D31" s="267"/>
      <c r="E31" s="89">
        <f>(((DIAS_LICENCA_PATERNIDADE/DIAS_NO_MES)/MESES_NO_ANO)*PERC_NASCIDOS_VIVOS_POPUL_FEM%*PERC_PARTIC_MASC_VIGIL%)*100</f>
        <v>1.7051833333333329E-2</v>
      </c>
      <c r="F31" s="89" t="s">
        <v>185</v>
      </c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6.5" customHeight="1" x14ac:dyDescent="0.25">
      <c r="A32" s="3"/>
      <c r="B32" s="40" t="s">
        <v>17</v>
      </c>
      <c r="C32" s="266" t="s">
        <v>186</v>
      </c>
      <c r="D32" s="266"/>
      <c r="E32" s="91">
        <f>(DIAS_PAGOS_EMPRESA_ACID_TRAB/DIAS_NO_MES)/MESES_NO_ANO*PERC_EMPREG_AFAST_TRAB%*100</f>
        <v>1.85302229372558E-2</v>
      </c>
      <c r="F32" s="90" t="s">
        <v>187</v>
      </c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6.5" customHeight="1" x14ac:dyDescent="0.25">
      <c r="A33" s="3"/>
      <c r="B33" s="40" t="s">
        <v>19</v>
      </c>
      <c r="C33" s="267" t="s">
        <v>188</v>
      </c>
      <c r="D33" s="267"/>
      <c r="E33" s="89">
        <f>(((DIAS_LICENCA_MATERNIDADE/DIAS_NO_MES)/MESES_NO_ANO)*PERC_NASCIDOS_VIVOS_POPUL_FEM%*PERC_PARTIC_FEM_VIGIL%*PERC_GPS_FGTS%*100)</f>
        <v>2.3584874666666662E-2</v>
      </c>
      <c r="F33" s="89" t="s">
        <v>189</v>
      </c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6.5" x14ac:dyDescent="0.25">
      <c r="A34" s="3"/>
      <c r="B34" s="40" t="s">
        <v>54</v>
      </c>
      <c r="C34" s="300" t="str">
        <f>OUTRAS_AUSENCIAS_DESCRICAO</f>
        <v>Outras Ausências (Especificar em %)</v>
      </c>
      <c r="D34" s="300"/>
      <c r="E34" s="91">
        <f>PERC_SUBSTITUTO_OUTRAS_AUSENCIAS</f>
        <v>0</v>
      </c>
      <c r="F34" s="90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6.5" x14ac:dyDescent="0.3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20.25" x14ac:dyDescent="0.3">
      <c r="A36" s="2"/>
      <c r="B36" s="76" t="s">
        <v>112</v>
      </c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6.5" customHeight="1" x14ac:dyDescent="0.3">
      <c r="A37" s="2"/>
      <c r="B37" s="268" t="s">
        <v>113</v>
      </c>
      <c r="C37" s="268"/>
      <c r="D37" s="268"/>
      <c r="E37" s="268"/>
      <c r="F37" s="268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6.5" x14ac:dyDescent="0.3">
      <c r="A38" s="2"/>
      <c r="B38" s="2" t="s">
        <v>190</v>
      </c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6.5" x14ac:dyDescent="0.3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6.5" x14ac:dyDescent="0.3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6.5" x14ac:dyDescent="0.3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6.5" x14ac:dyDescent="0.3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6.5" x14ac:dyDescent="0.3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6.5" x14ac:dyDescent="0.3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6.5" x14ac:dyDescent="0.3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6.5" x14ac:dyDescent="0.3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6.5" x14ac:dyDescent="0.3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6.5" x14ac:dyDescent="0.3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6.5" x14ac:dyDescent="0.3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6.5" x14ac:dyDescent="0.3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6.5" x14ac:dyDescent="0.3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6.5" x14ac:dyDescent="0.3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6.5" x14ac:dyDescent="0.3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6.5" x14ac:dyDescent="0.3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6.5" x14ac:dyDescent="0.3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6.5" x14ac:dyDescent="0.3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6.5" x14ac:dyDescent="0.3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6.5" x14ac:dyDescent="0.3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6.5" x14ac:dyDescent="0.3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6.5" x14ac:dyDescent="0.3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6.5" x14ac:dyDescent="0.3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6.5" x14ac:dyDescent="0.3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6.5" x14ac:dyDescent="0.3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6.5" x14ac:dyDescent="0.3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6.5" x14ac:dyDescent="0.3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6.5" x14ac:dyDescent="0.3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6.5" x14ac:dyDescent="0.3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6.5" x14ac:dyDescent="0.3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6.5" x14ac:dyDescent="0.3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6.5" x14ac:dyDescent="0.3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6.5" x14ac:dyDescent="0.3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6.5" x14ac:dyDescent="0.3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6.5" x14ac:dyDescent="0.3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6.5" x14ac:dyDescent="0.3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6.5" x14ac:dyDescent="0.3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6.5" x14ac:dyDescent="0.3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6.5" x14ac:dyDescent="0.3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6.5" x14ac:dyDescent="0.3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6.5" x14ac:dyDescent="0.3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6.5" x14ac:dyDescent="0.3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6.5" x14ac:dyDescent="0.3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6.5" x14ac:dyDescent="0.3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6.5" x14ac:dyDescent="0.3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6.5" x14ac:dyDescent="0.3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6.5" x14ac:dyDescent="0.3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6.5" x14ac:dyDescent="0.3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6.5" x14ac:dyDescent="0.3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6.5" x14ac:dyDescent="0.3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6.5" x14ac:dyDescent="0.3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6.5" x14ac:dyDescent="0.3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6.5" x14ac:dyDescent="0.3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6.5" x14ac:dyDescent="0.3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6.5" x14ac:dyDescent="0.3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6.5" x14ac:dyDescent="0.3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6.5" x14ac:dyDescent="0.3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6.5" x14ac:dyDescent="0.3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6.5" x14ac:dyDescent="0.3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6.5" x14ac:dyDescent="0.3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6.5" x14ac:dyDescent="0.3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6.5" x14ac:dyDescent="0.3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6.5" x14ac:dyDescent="0.3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6.5" x14ac:dyDescent="0.3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6.5" x14ac:dyDescent="0.3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6.5" x14ac:dyDescent="0.3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6.5" x14ac:dyDescent="0.3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6.5" x14ac:dyDescent="0.3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6.5" x14ac:dyDescent="0.3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6.5" x14ac:dyDescent="0.3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6.5" x14ac:dyDescent="0.3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6.5" x14ac:dyDescent="0.3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6.5" x14ac:dyDescent="0.3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6.5" x14ac:dyDescent="0.3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6.5" x14ac:dyDescent="0.3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6.5" x14ac:dyDescent="0.3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6.5" x14ac:dyDescent="0.3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6.5" x14ac:dyDescent="0.3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6.5" x14ac:dyDescent="0.3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6.5" x14ac:dyDescent="0.3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6.5" x14ac:dyDescent="0.3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6.5" x14ac:dyDescent="0.3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6.5" x14ac:dyDescent="0.3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6.5" x14ac:dyDescent="0.3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6.5" x14ac:dyDescent="0.3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6.5" x14ac:dyDescent="0.3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6.5" x14ac:dyDescent="0.3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6.5" x14ac:dyDescent="0.3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6.5" x14ac:dyDescent="0.3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6.5" x14ac:dyDescent="0.3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6.5" x14ac:dyDescent="0.3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6.5" x14ac:dyDescent="0.3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6.5" x14ac:dyDescent="0.3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6.5" x14ac:dyDescent="0.3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6.5" x14ac:dyDescent="0.3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6.5" x14ac:dyDescent="0.3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6.5" x14ac:dyDescent="0.3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6.5" x14ac:dyDescent="0.3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6.5" x14ac:dyDescent="0.3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6.5" x14ac:dyDescent="0.3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6.5" x14ac:dyDescent="0.3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6.5" x14ac:dyDescent="0.3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6.5" x14ac:dyDescent="0.3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6.5" x14ac:dyDescent="0.3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6.5" x14ac:dyDescent="0.3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6.5" x14ac:dyDescent="0.3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6.5" x14ac:dyDescent="0.3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6.5" x14ac:dyDescent="0.3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6.5" x14ac:dyDescent="0.3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6.5" x14ac:dyDescent="0.3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6.5" x14ac:dyDescent="0.3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6.5" x14ac:dyDescent="0.3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6.5" x14ac:dyDescent="0.3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6.5" x14ac:dyDescent="0.3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6.5" x14ac:dyDescent="0.3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6.5" x14ac:dyDescent="0.3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6.5" x14ac:dyDescent="0.3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6.5" x14ac:dyDescent="0.3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6.5" x14ac:dyDescent="0.3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6.5" x14ac:dyDescent="0.3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6.5" x14ac:dyDescent="0.3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6.5" x14ac:dyDescent="0.3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6.5" x14ac:dyDescent="0.3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6.5" x14ac:dyDescent="0.3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6.5" x14ac:dyDescent="0.3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6.5" x14ac:dyDescent="0.3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6.5" x14ac:dyDescent="0.3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6.5" x14ac:dyDescent="0.3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6.5" x14ac:dyDescent="0.3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6.5" x14ac:dyDescent="0.3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6.5" x14ac:dyDescent="0.3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6.5" x14ac:dyDescent="0.3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6.5" x14ac:dyDescent="0.3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6.5" x14ac:dyDescent="0.3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6.5" x14ac:dyDescent="0.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6.5" x14ac:dyDescent="0.3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6.5" x14ac:dyDescent="0.3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6.5" x14ac:dyDescent="0.3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6.5" x14ac:dyDescent="0.3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6.5" x14ac:dyDescent="0.3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6.5" x14ac:dyDescent="0.3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6.5" x14ac:dyDescent="0.3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6.5" x14ac:dyDescent="0.3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6.5" x14ac:dyDescent="0.3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6.5" x14ac:dyDescent="0.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6.5" x14ac:dyDescent="0.3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6.5" x14ac:dyDescent="0.3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6.5" x14ac:dyDescent="0.3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6.5" x14ac:dyDescent="0.3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6.5" x14ac:dyDescent="0.3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6.5" x14ac:dyDescent="0.3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6.5" x14ac:dyDescent="0.3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6.5" x14ac:dyDescent="0.3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6.5" x14ac:dyDescent="0.3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6.5" x14ac:dyDescent="0.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6.5" x14ac:dyDescent="0.3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6.5" x14ac:dyDescent="0.3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6.5" x14ac:dyDescent="0.3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6.5" x14ac:dyDescent="0.3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6.5" x14ac:dyDescent="0.3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6.5" x14ac:dyDescent="0.3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6.5" x14ac:dyDescent="0.3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6.5" x14ac:dyDescent="0.3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6.5" x14ac:dyDescent="0.3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6.5" x14ac:dyDescent="0.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6.5" x14ac:dyDescent="0.3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6.5" x14ac:dyDescent="0.3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6.5" x14ac:dyDescent="0.3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6.5" x14ac:dyDescent="0.3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6.5" x14ac:dyDescent="0.3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6.5" x14ac:dyDescent="0.3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6.5" x14ac:dyDescent="0.3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6.5" x14ac:dyDescent="0.3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6.5" x14ac:dyDescent="0.3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6.5" x14ac:dyDescent="0.3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6.5" x14ac:dyDescent="0.3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6.5" x14ac:dyDescent="0.3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6.5" x14ac:dyDescent="0.3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6.5" x14ac:dyDescent="0.3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6.5" x14ac:dyDescent="0.3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6.5" x14ac:dyDescent="0.3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6.5" x14ac:dyDescent="0.3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6.5" x14ac:dyDescent="0.3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6.5" x14ac:dyDescent="0.3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6.5" x14ac:dyDescent="0.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6.5" x14ac:dyDescent="0.3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6.5" x14ac:dyDescent="0.3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6.5" x14ac:dyDescent="0.3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6.5" x14ac:dyDescent="0.3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6.5" x14ac:dyDescent="0.3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6.5" x14ac:dyDescent="0.3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6.5" x14ac:dyDescent="0.3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6.5" x14ac:dyDescent="0.3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6.5" x14ac:dyDescent="0.3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6.5" x14ac:dyDescent="0.3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6.5" x14ac:dyDescent="0.3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6.5" x14ac:dyDescent="0.3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6.5" x14ac:dyDescent="0.3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6.5" x14ac:dyDescent="0.3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6.5" x14ac:dyDescent="0.3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6.5" x14ac:dyDescent="0.3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6.5" x14ac:dyDescent="0.3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6.5" x14ac:dyDescent="0.3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6.5" x14ac:dyDescent="0.3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6.5" x14ac:dyDescent="0.3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6.5" x14ac:dyDescent="0.3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6.5" x14ac:dyDescent="0.3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6.5" x14ac:dyDescent="0.3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6.5" x14ac:dyDescent="0.3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6.5" x14ac:dyDescent="0.3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6.5" x14ac:dyDescent="0.3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6.5" x14ac:dyDescent="0.3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6.5" x14ac:dyDescent="0.3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6.5" x14ac:dyDescent="0.3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6.5" x14ac:dyDescent="0.3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6.5" x14ac:dyDescent="0.3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6.5" x14ac:dyDescent="0.3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6.5" x14ac:dyDescent="0.3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6.5" x14ac:dyDescent="0.3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6.5" x14ac:dyDescent="0.3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6.5" x14ac:dyDescent="0.3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6.5" x14ac:dyDescent="0.3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6.5" x14ac:dyDescent="0.3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6.5" x14ac:dyDescent="0.3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6.5" x14ac:dyDescent="0.3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6.5" x14ac:dyDescent="0.3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6.5" x14ac:dyDescent="0.3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6.5" x14ac:dyDescent="0.3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6.5" x14ac:dyDescent="0.3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6.5" x14ac:dyDescent="0.3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6.5" x14ac:dyDescent="0.3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6.5" x14ac:dyDescent="0.3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6.5" x14ac:dyDescent="0.3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6.5" x14ac:dyDescent="0.3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6.5" x14ac:dyDescent="0.3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6.5" x14ac:dyDescent="0.3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6.5" x14ac:dyDescent="0.3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6.5" x14ac:dyDescent="0.3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6.5" x14ac:dyDescent="0.3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6.5" x14ac:dyDescent="0.3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6.5" x14ac:dyDescent="0.3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6.5" x14ac:dyDescent="0.3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6.5" x14ac:dyDescent="0.3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6.5" x14ac:dyDescent="0.3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6.5" x14ac:dyDescent="0.3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6.5" x14ac:dyDescent="0.3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6.5" x14ac:dyDescent="0.3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6.5" x14ac:dyDescent="0.3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6.5" x14ac:dyDescent="0.3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6.5" x14ac:dyDescent="0.3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6.5" x14ac:dyDescent="0.3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6.5" x14ac:dyDescent="0.3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6.5" x14ac:dyDescent="0.3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6.5" x14ac:dyDescent="0.3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6.5" x14ac:dyDescent="0.3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6.5" x14ac:dyDescent="0.3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6.5" x14ac:dyDescent="0.3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6.5" x14ac:dyDescent="0.3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6.5" x14ac:dyDescent="0.3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6.5" x14ac:dyDescent="0.3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6.5" x14ac:dyDescent="0.3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6.5" x14ac:dyDescent="0.3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6.5" x14ac:dyDescent="0.3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6.5" x14ac:dyDescent="0.3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6.5" x14ac:dyDescent="0.3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6.5" x14ac:dyDescent="0.3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6.5" x14ac:dyDescent="0.3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6.5" x14ac:dyDescent="0.3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6.5" x14ac:dyDescent="0.3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6.5" x14ac:dyDescent="0.3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6.5" x14ac:dyDescent="0.3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6.5" x14ac:dyDescent="0.3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6.5" x14ac:dyDescent="0.3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6.5" x14ac:dyDescent="0.3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6.5" x14ac:dyDescent="0.3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6.5" x14ac:dyDescent="0.3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6.5" x14ac:dyDescent="0.3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6.5" x14ac:dyDescent="0.3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6.5" x14ac:dyDescent="0.3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6.5" x14ac:dyDescent="0.3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6.5" x14ac:dyDescent="0.3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6.5" x14ac:dyDescent="0.3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6.5" x14ac:dyDescent="0.3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6.5" x14ac:dyDescent="0.3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6.5" x14ac:dyDescent="0.3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6.5" x14ac:dyDescent="0.3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6.5" x14ac:dyDescent="0.3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6.5" x14ac:dyDescent="0.3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6.5" x14ac:dyDescent="0.3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6.5" x14ac:dyDescent="0.3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6.5" x14ac:dyDescent="0.3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6.5" x14ac:dyDescent="0.3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6.5" x14ac:dyDescent="0.3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6.5" x14ac:dyDescent="0.3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6.5" x14ac:dyDescent="0.3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6.5" x14ac:dyDescent="0.3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6.5" x14ac:dyDescent="0.3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6.5" x14ac:dyDescent="0.3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6.5" x14ac:dyDescent="0.3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6.5" x14ac:dyDescent="0.3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6.5" x14ac:dyDescent="0.3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6.5" x14ac:dyDescent="0.3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6.5" x14ac:dyDescent="0.3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6.5" x14ac:dyDescent="0.3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6.5" x14ac:dyDescent="0.3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6.5" x14ac:dyDescent="0.3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6.5" x14ac:dyDescent="0.3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6.5" x14ac:dyDescent="0.3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6.5" x14ac:dyDescent="0.3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6.5" x14ac:dyDescent="0.3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6.5" x14ac:dyDescent="0.3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6.5" x14ac:dyDescent="0.3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6.5" x14ac:dyDescent="0.3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6.5" x14ac:dyDescent="0.3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6.5" x14ac:dyDescent="0.3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6.5" x14ac:dyDescent="0.3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6.5" x14ac:dyDescent="0.3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6.5" x14ac:dyDescent="0.3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6.5" x14ac:dyDescent="0.3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6.5" x14ac:dyDescent="0.3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6.5" x14ac:dyDescent="0.3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6.5" x14ac:dyDescent="0.3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6.5" x14ac:dyDescent="0.3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6.5" x14ac:dyDescent="0.3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6.5" x14ac:dyDescent="0.3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6.5" x14ac:dyDescent="0.3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6.5" x14ac:dyDescent="0.3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6.5" x14ac:dyDescent="0.3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6.5" x14ac:dyDescent="0.3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6.5" x14ac:dyDescent="0.3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6.5" x14ac:dyDescent="0.3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6.5" x14ac:dyDescent="0.3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6.5" x14ac:dyDescent="0.3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6.5" x14ac:dyDescent="0.3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6.5" x14ac:dyDescent="0.3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6.5" x14ac:dyDescent="0.3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6.5" x14ac:dyDescent="0.3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6.5" x14ac:dyDescent="0.3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6.5" x14ac:dyDescent="0.3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6.5" x14ac:dyDescent="0.3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6.5" x14ac:dyDescent="0.3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6.5" x14ac:dyDescent="0.3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6.5" x14ac:dyDescent="0.3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6.5" x14ac:dyDescent="0.3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6.5" x14ac:dyDescent="0.3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6.5" x14ac:dyDescent="0.3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6.5" x14ac:dyDescent="0.3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6.5" x14ac:dyDescent="0.3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6.5" x14ac:dyDescent="0.3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6.5" x14ac:dyDescent="0.3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6.5" x14ac:dyDescent="0.3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6.5" x14ac:dyDescent="0.3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6.5" x14ac:dyDescent="0.3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6.5" x14ac:dyDescent="0.3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6.5" x14ac:dyDescent="0.3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6.5" x14ac:dyDescent="0.3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6.5" x14ac:dyDescent="0.3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6.5" x14ac:dyDescent="0.3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6.5" x14ac:dyDescent="0.3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6.5" x14ac:dyDescent="0.3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6.5" x14ac:dyDescent="0.3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6.5" x14ac:dyDescent="0.3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6.5" x14ac:dyDescent="0.3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6.5" x14ac:dyDescent="0.3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6.5" x14ac:dyDescent="0.3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6.5" x14ac:dyDescent="0.3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6.5" x14ac:dyDescent="0.3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6.5" x14ac:dyDescent="0.3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6.5" x14ac:dyDescent="0.3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6.5" x14ac:dyDescent="0.3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6.5" x14ac:dyDescent="0.3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6.5" x14ac:dyDescent="0.3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6.5" x14ac:dyDescent="0.3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6.5" x14ac:dyDescent="0.3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6.5" x14ac:dyDescent="0.3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6.5" x14ac:dyDescent="0.3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6.5" x14ac:dyDescent="0.3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6.5" x14ac:dyDescent="0.3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6.5" x14ac:dyDescent="0.3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6.5" x14ac:dyDescent="0.3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6.5" x14ac:dyDescent="0.3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6.5" x14ac:dyDescent="0.3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6.5" x14ac:dyDescent="0.3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6.5" x14ac:dyDescent="0.3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6.5" x14ac:dyDescent="0.3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6.5" x14ac:dyDescent="0.3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6.5" x14ac:dyDescent="0.3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6.5" x14ac:dyDescent="0.3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6.5" x14ac:dyDescent="0.3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6.5" x14ac:dyDescent="0.3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6.5" x14ac:dyDescent="0.3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6.5" x14ac:dyDescent="0.3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6.5" x14ac:dyDescent="0.3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6.5" x14ac:dyDescent="0.3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6.5" x14ac:dyDescent="0.3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6.5" x14ac:dyDescent="0.3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6.5" x14ac:dyDescent="0.3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6.5" x14ac:dyDescent="0.3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6.5" x14ac:dyDescent="0.3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6.5" x14ac:dyDescent="0.3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6.5" x14ac:dyDescent="0.3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6.5" x14ac:dyDescent="0.3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6.5" x14ac:dyDescent="0.3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6.5" x14ac:dyDescent="0.3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6.5" x14ac:dyDescent="0.3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6.5" x14ac:dyDescent="0.3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6.5" x14ac:dyDescent="0.3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6.5" x14ac:dyDescent="0.3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6.5" x14ac:dyDescent="0.3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6.5" x14ac:dyDescent="0.3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6.5" x14ac:dyDescent="0.3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6.5" x14ac:dyDescent="0.3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6.5" x14ac:dyDescent="0.3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6.5" x14ac:dyDescent="0.3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6.5" x14ac:dyDescent="0.3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6.5" x14ac:dyDescent="0.3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6.5" x14ac:dyDescent="0.3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6.5" x14ac:dyDescent="0.3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6.5" x14ac:dyDescent="0.3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6.5" x14ac:dyDescent="0.3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6.5" x14ac:dyDescent="0.3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6.5" x14ac:dyDescent="0.3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6.5" x14ac:dyDescent="0.3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6.5" x14ac:dyDescent="0.3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6.5" x14ac:dyDescent="0.3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6.5" x14ac:dyDescent="0.3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6.5" x14ac:dyDescent="0.3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6.5" x14ac:dyDescent="0.3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6.5" x14ac:dyDescent="0.3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6.5" x14ac:dyDescent="0.3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6.5" x14ac:dyDescent="0.3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6.5" x14ac:dyDescent="0.3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6.5" x14ac:dyDescent="0.3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6.5" x14ac:dyDescent="0.3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6.5" x14ac:dyDescent="0.3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6.5" x14ac:dyDescent="0.3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6.5" x14ac:dyDescent="0.3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6.5" x14ac:dyDescent="0.3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6.5" x14ac:dyDescent="0.3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6.5" x14ac:dyDescent="0.3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6.5" x14ac:dyDescent="0.3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6.5" x14ac:dyDescent="0.3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6.5" x14ac:dyDescent="0.3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6.5" x14ac:dyDescent="0.3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6.5" x14ac:dyDescent="0.3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6.5" x14ac:dyDescent="0.3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6.5" x14ac:dyDescent="0.3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6.5" x14ac:dyDescent="0.3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6.5" x14ac:dyDescent="0.3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6.5" x14ac:dyDescent="0.3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6.5" x14ac:dyDescent="0.3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6.5" x14ac:dyDescent="0.3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6.5" x14ac:dyDescent="0.3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6.5" x14ac:dyDescent="0.3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6.5" x14ac:dyDescent="0.3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6.5" x14ac:dyDescent="0.3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6.5" x14ac:dyDescent="0.3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6.5" x14ac:dyDescent="0.3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6.5" x14ac:dyDescent="0.3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6.5" x14ac:dyDescent="0.3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6.5" x14ac:dyDescent="0.3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6.5" x14ac:dyDescent="0.3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6.5" x14ac:dyDescent="0.3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6.5" x14ac:dyDescent="0.3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6.5" x14ac:dyDescent="0.3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6.5" x14ac:dyDescent="0.3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6.5" x14ac:dyDescent="0.3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6.5" x14ac:dyDescent="0.3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6.5" x14ac:dyDescent="0.3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6.5" x14ac:dyDescent="0.3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6.5" x14ac:dyDescent="0.3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6.5" x14ac:dyDescent="0.3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6.5" x14ac:dyDescent="0.3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6.5" x14ac:dyDescent="0.3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6.5" x14ac:dyDescent="0.3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6.5" x14ac:dyDescent="0.3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6.5" x14ac:dyDescent="0.3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6.5" x14ac:dyDescent="0.3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6.5" x14ac:dyDescent="0.3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6.5" x14ac:dyDescent="0.3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6.5" x14ac:dyDescent="0.3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6.5" x14ac:dyDescent="0.3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6.5" x14ac:dyDescent="0.3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6.5" x14ac:dyDescent="0.3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6.5" x14ac:dyDescent="0.3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6.5" x14ac:dyDescent="0.3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6.5" x14ac:dyDescent="0.3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6.5" x14ac:dyDescent="0.3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6.5" x14ac:dyDescent="0.3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6.5" x14ac:dyDescent="0.3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6.5" x14ac:dyDescent="0.3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6.5" x14ac:dyDescent="0.3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6.5" x14ac:dyDescent="0.3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6.5" x14ac:dyDescent="0.3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6.5" x14ac:dyDescent="0.3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6.5" x14ac:dyDescent="0.3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6.5" x14ac:dyDescent="0.3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6.5" x14ac:dyDescent="0.3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6.5" x14ac:dyDescent="0.3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6.5" x14ac:dyDescent="0.3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6.5" x14ac:dyDescent="0.3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6.5" x14ac:dyDescent="0.3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6.5" x14ac:dyDescent="0.3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6.5" x14ac:dyDescent="0.3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6.5" x14ac:dyDescent="0.3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6.5" x14ac:dyDescent="0.3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6.5" x14ac:dyDescent="0.3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6.5" x14ac:dyDescent="0.3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6.5" x14ac:dyDescent="0.3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6.5" x14ac:dyDescent="0.3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6.5" x14ac:dyDescent="0.3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6.5" x14ac:dyDescent="0.3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6.5" x14ac:dyDescent="0.3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6.5" x14ac:dyDescent="0.3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6.5" x14ac:dyDescent="0.3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6.5" x14ac:dyDescent="0.3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6.5" x14ac:dyDescent="0.3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6.5" x14ac:dyDescent="0.3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6.5" x14ac:dyDescent="0.3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6.5" x14ac:dyDescent="0.3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6.5" x14ac:dyDescent="0.3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6.5" x14ac:dyDescent="0.3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6.5" x14ac:dyDescent="0.3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6.5" x14ac:dyDescent="0.3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6.5" x14ac:dyDescent="0.3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6.5" x14ac:dyDescent="0.3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6.5" x14ac:dyDescent="0.3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6.5" x14ac:dyDescent="0.3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6.5" x14ac:dyDescent="0.3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6.5" x14ac:dyDescent="0.3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6.5" x14ac:dyDescent="0.3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6.5" x14ac:dyDescent="0.3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6.5" x14ac:dyDescent="0.3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6.5" x14ac:dyDescent="0.3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6.5" x14ac:dyDescent="0.3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6.5" x14ac:dyDescent="0.3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6.5" x14ac:dyDescent="0.3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6.5" x14ac:dyDescent="0.3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6.5" x14ac:dyDescent="0.3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6.5" x14ac:dyDescent="0.3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6.5" x14ac:dyDescent="0.3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6.5" x14ac:dyDescent="0.3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6.5" x14ac:dyDescent="0.3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6.5" x14ac:dyDescent="0.3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6.5" x14ac:dyDescent="0.3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6.5" x14ac:dyDescent="0.3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6.5" x14ac:dyDescent="0.3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6.5" x14ac:dyDescent="0.3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6.5" x14ac:dyDescent="0.3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6.5" x14ac:dyDescent="0.3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6.5" x14ac:dyDescent="0.3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6.5" x14ac:dyDescent="0.3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6.5" x14ac:dyDescent="0.3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6.5" x14ac:dyDescent="0.3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6.5" x14ac:dyDescent="0.3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6.5" x14ac:dyDescent="0.3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6.5" x14ac:dyDescent="0.3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6.5" x14ac:dyDescent="0.3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6.5" x14ac:dyDescent="0.3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6.5" x14ac:dyDescent="0.3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6.5" x14ac:dyDescent="0.3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6.5" x14ac:dyDescent="0.3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6.5" x14ac:dyDescent="0.3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6.5" x14ac:dyDescent="0.3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6.5" x14ac:dyDescent="0.3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6.5" x14ac:dyDescent="0.3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6.5" x14ac:dyDescent="0.3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6.5" x14ac:dyDescent="0.3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6.5" x14ac:dyDescent="0.3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6.5" x14ac:dyDescent="0.3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6.5" x14ac:dyDescent="0.3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6.5" x14ac:dyDescent="0.3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6.5" x14ac:dyDescent="0.3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6.5" x14ac:dyDescent="0.3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6.5" x14ac:dyDescent="0.3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6.5" x14ac:dyDescent="0.3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6.5" x14ac:dyDescent="0.3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6.5" x14ac:dyDescent="0.3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6.5" x14ac:dyDescent="0.3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6.5" x14ac:dyDescent="0.3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6.5" x14ac:dyDescent="0.3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6.5" x14ac:dyDescent="0.3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6.5" x14ac:dyDescent="0.3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6.5" x14ac:dyDescent="0.3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6.5" x14ac:dyDescent="0.3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6.5" x14ac:dyDescent="0.3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6.5" x14ac:dyDescent="0.3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6.5" x14ac:dyDescent="0.3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6.5" x14ac:dyDescent="0.3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6.5" x14ac:dyDescent="0.3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6.5" x14ac:dyDescent="0.3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6.5" x14ac:dyDescent="0.3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6.5" x14ac:dyDescent="0.3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6.5" x14ac:dyDescent="0.3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6.5" x14ac:dyDescent="0.3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6.5" x14ac:dyDescent="0.3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6.5" x14ac:dyDescent="0.3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6.5" x14ac:dyDescent="0.3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6.5" x14ac:dyDescent="0.3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6.5" x14ac:dyDescent="0.3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6.5" x14ac:dyDescent="0.3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6.5" x14ac:dyDescent="0.3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6.5" x14ac:dyDescent="0.3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6.5" x14ac:dyDescent="0.3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6.5" x14ac:dyDescent="0.3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6.5" x14ac:dyDescent="0.3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6.5" x14ac:dyDescent="0.3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6.5" x14ac:dyDescent="0.3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6.5" x14ac:dyDescent="0.3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6.5" x14ac:dyDescent="0.3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6.5" x14ac:dyDescent="0.3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6.5" x14ac:dyDescent="0.3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6.5" x14ac:dyDescent="0.3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6.5" x14ac:dyDescent="0.3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6.5" x14ac:dyDescent="0.3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6.5" x14ac:dyDescent="0.3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6.5" x14ac:dyDescent="0.3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6.5" x14ac:dyDescent="0.3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6.5" x14ac:dyDescent="0.3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6.5" x14ac:dyDescent="0.3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6.5" x14ac:dyDescent="0.3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6.5" x14ac:dyDescent="0.3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6.5" x14ac:dyDescent="0.3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6.5" x14ac:dyDescent="0.3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6.5" x14ac:dyDescent="0.3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6.5" x14ac:dyDescent="0.3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6.5" x14ac:dyDescent="0.3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6.5" x14ac:dyDescent="0.3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6.5" x14ac:dyDescent="0.3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6.5" x14ac:dyDescent="0.3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6.5" x14ac:dyDescent="0.3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6.5" x14ac:dyDescent="0.3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6.5" x14ac:dyDescent="0.3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6.5" x14ac:dyDescent="0.3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6.5" x14ac:dyDescent="0.3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6.5" x14ac:dyDescent="0.3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6.5" x14ac:dyDescent="0.3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6.5" x14ac:dyDescent="0.3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6.5" x14ac:dyDescent="0.3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6.5" x14ac:dyDescent="0.3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6.5" x14ac:dyDescent="0.3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6.5" x14ac:dyDescent="0.3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6.5" x14ac:dyDescent="0.3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6.5" x14ac:dyDescent="0.3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6.5" x14ac:dyDescent="0.3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6.5" x14ac:dyDescent="0.3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6.5" x14ac:dyDescent="0.3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6.5" x14ac:dyDescent="0.3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6.5" x14ac:dyDescent="0.3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6.5" x14ac:dyDescent="0.3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6.5" x14ac:dyDescent="0.3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6.5" x14ac:dyDescent="0.3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6.5" x14ac:dyDescent="0.3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6.5" x14ac:dyDescent="0.3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6.5" x14ac:dyDescent="0.3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6.5" x14ac:dyDescent="0.3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6.5" x14ac:dyDescent="0.3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6.5" x14ac:dyDescent="0.3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6.5" x14ac:dyDescent="0.3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6.5" x14ac:dyDescent="0.3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6.5" x14ac:dyDescent="0.3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6.5" x14ac:dyDescent="0.3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6.5" x14ac:dyDescent="0.3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6.5" x14ac:dyDescent="0.3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6.5" x14ac:dyDescent="0.3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6.5" x14ac:dyDescent="0.3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6.5" x14ac:dyDescent="0.3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6.5" x14ac:dyDescent="0.3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6.5" x14ac:dyDescent="0.3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6.5" x14ac:dyDescent="0.3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6.5" x14ac:dyDescent="0.3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6.5" x14ac:dyDescent="0.3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6.5" x14ac:dyDescent="0.3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6.5" x14ac:dyDescent="0.3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6.5" x14ac:dyDescent="0.3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6.5" x14ac:dyDescent="0.3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6.5" x14ac:dyDescent="0.3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6.5" x14ac:dyDescent="0.3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6.5" x14ac:dyDescent="0.3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6.5" x14ac:dyDescent="0.3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6.5" x14ac:dyDescent="0.3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6.5" x14ac:dyDescent="0.3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6.5" x14ac:dyDescent="0.3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6.5" x14ac:dyDescent="0.3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6.5" x14ac:dyDescent="0.3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6.5" x14ac:dyDescent="0.3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6.5" x14ac:dyDescent="0.3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6.5" x14ac:dyDescent="0.3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6.5" x14ac:dyDescent="0.3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6.5" x14ac:dyDescent="0.3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6.5" x14ac:dyDescent="0.3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6.5" x14ac:dyDescent="0.3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6.5" x14ac:dyDescent="0.3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6.5" x14ac:dyDescent="0.3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6.5" x14ac:dyDescent="0.3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6.5" x14ac:dyDescent="0.3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6.5" x14ac:dyDescent="0.3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6.5" x14ac:dyDescent="0.3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6.5" x14ac:dyDescent="0.3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6.5" x14ac:dyDescent="0.3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6.5" x14ac:dyDescent="0.3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6.5" x14ac:dyDescent="0.3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6.5" x14ac:dyDescent="0.3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6.5" x14ac:dyDescent="0.3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6.5" x14ac:dyDescent="0.3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6.5" x14ac:dyDescent="0.3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6.5" x14ac:dyDescent="0.3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6.5" x14ac:dyDescent="0.3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6.5" x14ac:dyDescent="0.3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6.5" x14ac:dyDescent="0.3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6.5" x14ac:dyDescent="0.3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6.5" x14ac:dyDescent="0.3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6.5" x14ac:dyDescent="0.3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6.5" x14ac:dyDescent="0.3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6.5" x14ac:dyDescent="0.3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6.5" x14ac:dyDescent="0.3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6.5" x14ac:dyDescent="0.3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6.5" x14ac:dyDescent="0.3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6.5" x14ac:dyDescent="0.3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6.5" x14ac:dyDescent="0.3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6.5" x14ac:dyDescent="0.3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6.5" x14ac:dyDescent="0.3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6.5" x14ac:dyDescent="0.3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6.5" x14ac:dyDescent="0.3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6.5" x14ac:dyDescent="0.3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6.5" x14ac:dyDescent="0.3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6.5" x14ac:dyDescent="0.3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6.5" x14ac:dyDescent="0.3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6.5" x14ac:dyDescent="0.3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6.5" x14ac:dyDescent="0.3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6.5" x14ac:dyDescent="0.3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6.5" x14ac:dyDescent="0.3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6.5" x14ac:dyDescent="0.3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6.5" x14ac:dyDescent="0.3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6.5" x14ac:dyDescent="0.3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6.5" x14ac:dyDescent="0.3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6.5" x14ac:dyDescent="0.3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6.5" x14ac:dyDescent="0.3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6.5" x14ac:dyDescent="0.3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6.5" x14ac:dyDescent="0.3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6.5" x14ac:dyDescent="0.3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6.5" x14ac:dyDescent="0.3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6.5" x14ac:dyDescent="0.3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6.5" x14ac:dyDescent="0.3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6.5" x14ac:dyDescent="0.3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6.5" x14ac:dyDescent="0.3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6.5" x14ac:dyDescent="0.3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6.5" x14ac:dyDescent="0.3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6.5" x14ac:dyDescent="0.3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6.5" x14ac:dyDescent="0.3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6.5" x14ac:dyDescent="0.3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6.5" x14ac:dyDescent="0.3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6.5" x14ac:dyDescent="0.3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6.5" x14ac:dyDescent="0.3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6.5" x14ac:dyDescent="0.3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6.5" x14ac:dyDescent="0.3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6.5" x14ac:dyDescent="0.3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6.5" x14ac:dyDescent="0.3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6.5" x14ac:dyDescent="0.3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6.5" x14ac:dyDescent="0.3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6.5" x14ac:dyDescent="0.3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6.5" x14ac:dyDescent="0.3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6.5" x14ac:dyDescent="0.3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6.5" x14ac:dyDescent="0.3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6.5" x14ac:dyDescent="0.3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6.5" x14ac:dyDescent="0.3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6.5" x14ac:dyDescent="0.3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6.5" x14ac:dyDescent="0.3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6.5" x14ac:dyDescent="0.3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6.5" x14ac:dyDescent="0.3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6.5" x14ac:dyDescent="0.3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6.5" x14ac:dyDescent="0.3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6.5" x14ac:dyDescent="0.3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6.5" x14ac:dyDescent="0.3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6.5" x14ac:dyDescent="0.3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6.5" x14ac:dyDescent="0.3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6.5" x14ac:dyDescent="0.3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6.5" x14ac:dyDescent="0.3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6.5" x14ac:dyDescent="0.3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6.5" x14ac:dyDescent="0.3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6.5" x14ac:dyDescent="0.3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6.5" x14ac:dyDescent="0.3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6.5" x14ac:dyDescent="0.3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6.5" x14ac:dyDescent="0.3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6.5" x14ac:dyDescent="0.3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6.5" x14ac:dyDescent="0.3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6.5" x14ac:dyDescent="0.3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6.5" x14ac:dyDescent="0.3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6.5" x14ac:dyDescent="0.3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6.5" x14ac:dyDescent="0.3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6.5" x14ac:dyDescent="0.3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6.5" x14ac:dyDescent="0.3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6.5" x14ac:dyDescent="0.3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6.5" x14ac:dyDescent="0.3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6.5" x14ac:dyDescent="0.3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6.5" x14ac:dyDescent="0.3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6.5" x14ac:dyDescent="0.3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6.5" x14ac:dyDescent="0.3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6.5" x14ac:dyDescent="0.3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6.5" x14ac:dyDescent="0.3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6.5" x14ac:dyDescent="0.3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6.5" x14ac:dyDescent="0.3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6.5" x14ac:dyDescent="0.3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6.5" x14ac:dyDescent="0.3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6.5" x14ac:dyDescent="0.3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6.5" x14ac:dyDescent="0.3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6.5" x14ac:dyDescent="0.3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6.5" x14ac:dyDescent="0.3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6.5" x14ac:dyDescent="0.3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6.5" x14ac:dyDescent="0.3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6.5" x14ac:dyDescent="0.3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6.5" x14ac:dyDescent="0.3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6.5" x14ac:dyDescent="0.3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6.5" x14ac:dyDescent="0.3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6.5" x14ac:dyDescent="0.3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6.5" x14ac:dyDescent="0.3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6.5" x14ac:dyDescent="0.3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6.5" x14ac:dyDescent="0.3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6.5" x14ac:dyDescent="0.3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6.5" x14ac:dyDescent="0.3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6.5" x14ac:dyDescent="0.3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6.5" x14ac:dyDescent="0.3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6.5" x14ac:dyDescent="0.3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6.5" x14ac:dyDescent="0.3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6.5" x14ac:dyDescent="0.3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6.5" x14ac:dyDescent="0.3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6.5" x14ac:dyDescent="0.3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6.5" x14ac:dyDescent="0.3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6.5" x14ac:dyDescent="0.3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6.5" x14ac:dyDescent="0.3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6.5" x14ac:dyDescent="0.3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6.5" x14ac:dyDescent="0.3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6.5" x14ac:dyDescent="0.3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6.5" x14ac:dyDescent="0.3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6.5" x14ac:dyDescent="0.3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6.5" x14ac:dyDescent="0.3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6.5" x14ac:dyDescent="0.3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6.5" x14ac:dyDescent="0.3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6.5" x14ac:dyDescent="0.3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6.5" x14ac:dyDescent="0.3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6.5" x14ac:dyDescent="0.3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6.5" x14ac:dyDescent="0.3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6.5" x14ac:dyDescent="0.3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6.5" x14ac:dyDescent="0.3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6.5" x14ac:dyDescent="0.3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6.5" x14ac:dyDescent="0.3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6.5" x14ac:dyDescent="0.3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6.5" x14ac:dyDescent="0.3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6.5" x14ac:dyDescent="0.3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6.5" x14ac:dyDescent="0.3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6.5" x14ac:dyDescent="0.3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6.5" x14ac:dyDescent="0.3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6.5" x14ac:dyDescent="0.3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6.5" x14ac:dyDescent="0.3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6.5" x14ac:dyDescent="0.3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6.5" x14ac:dyDescent="0.3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6.5" x14ac:dyDescent="0.3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6.5" x14ac:dyDescent="0.3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6.5" x14ac:dyDescent="0.3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6.5" x14ac:dyDescent="0.3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6.5" x14ac:dyDescent="0.3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6.5" x14ac:dyDescent="0.3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6.5" x14ac:dyDescent="0.3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6.5" x14ac:dyDescent="0.3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6.5" x14ac:dyDescent="0.3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6.5" x14ac:dyDescent="0.3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6.5" x14ac:dyDescent="0.3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6.5" x14ac:dyDescent="0.3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6.5" x14ac:dyDescent="0.3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6.5" x14ac:dyDescent="0.3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6.5" x14ac:dyDescent="0.3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6.5" x14ac:dyDescent="0.3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6.5" x14ac:dyDescent="0.3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6.5" x14ac:dyDescent="0.3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6.5" x14ac:dyDescent="0.3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6.5" x14ac:dyDescent="0.3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6.5" x14ac:dyDescent="0.3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6.5" x14ac:dyDescent="0.3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6.5" x14ac:dyDescent="0.3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6.5" x14ac:dyDescent="0.3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6.5" x14ac:dyDescent="0.3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6.5" x14ac:dyDescent="0.3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6.5" x14ac:dyDescent="0.3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6.5" x14ac:dyDescent="0.3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6.5" x14ac:dyDescent="0.3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6.5" x14ac:dyDescent="0.3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6.5" x14ac:dyDescent="0.3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6.5" x14ac:dyDescent="0.3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6.5" x14ac:dyDescent="0.3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6.5" x14ac:dyDescent="0.3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6.5" x14ac:dyDescent="0.3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6.5" x14ac:dyDescent="0.3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6.5" x14ac:dyDescent="0.3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6.5" x14ac:dyDescent="0.3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6.5" x14ac:dyDescent="0.3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6.5" x14ac:dyDescent="0.3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6.5" x14ac:dyDescent="0.3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6.5" x14ac:dyDescent="0.3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6.5" x14ac:dyDescent="0.3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6.5" x14ac:dyDescent="0.3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6.5" x14ac:dyDescent="0.3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6.5" x14ac:dyDescent="0.3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6.5" x14ac:dyDescent="0.3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6.5" x14ac:dyDescent="0.3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6.5" x14ac:dyDescent="0.3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6.5" x14ac:dyDescent="0.3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6.5" x14ac:dyDescent="0.3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6.5" x14ac:dyDescent="0.3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6.5" x14ac:dyDescent="0.3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6.5" x14ac:dyDescent="0.3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6.5" x14ac:dyDescent="0.3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6.5" x14ac:dyDescent="0.3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6.5" x14ac:dyDescent="0.3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6.5" x14ac:dyDescent="0.3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6.5" x14ac:dyDescent="0.3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6.5" x14ac:dyDescent="0.3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6.5" x14ac:dyDescent="0.3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6.5" x14ac:dyDescent="0.3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6.5" x14ac:dyDescent="0.3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6.5" x14ac:dyDescent="0.3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6.5" x14ac:dyDescent="0.3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6.5" x14ac:dyDescent="0.3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6.5" x14ac:dyDescent="0.3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6.5" x14ac:dyDescent="0.3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6.5" x14ac:dyDescent="0.3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6.5" x14ac:dyDescent="0.3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6.5" x14ac:dyDescent="0.3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6.5" x14ac:dyDescent="0.3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6.5" x14ac:dyDescent="0.3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6.5" x14ac:dyDescent="0.3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6.5" x14ac:dyDescent="0.3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6.5" x14ac:dyDescent="0.3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6.5" x14ac:dyDescent="0.3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6.5" x14ac:dyDescent="0.3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6.5" x14ac:dyDescent="0.3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6.5" x14ac:dyDescent="0.3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6.5" x14ac:dyDescent="0.3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6.5" x14ac:dyDescent="0.3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6.5" x14ac:dyDescent="0.3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6.5" x14ac:dyDescent="0.3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6.5" x14ac:dyDescent="0.3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6.5" x14ac:dyDescent="0.3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6.5" x14ac:dyDescent="0.3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6.5" x14ac:dyDescent="0.3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6.5" x14ac:dyDescent="0.3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6.5" x14ac:dyDescent="0.3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6.5" x14ac:dyDescent="0.3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6.5" x14ac:dyDescent="0.3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6.5" x14ac:dyDescent="0.3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6.5" x14ac:dyDescent="0.3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6.5" x14ac:dyDescent="0.3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6.5" x14ac:dyDescent="0.3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6.5" x14ac:dyDescent="0.3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6.5" x14ac:dyDescent="0.3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6.5" x14ac:dyDescent="0.3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6.5" x14ac:dyDescent="0.3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6.5" x14ac:dyDescent="0.3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6.5" x14ac:dyDescent="0.3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6.5" x14ac:dyDescent="0.3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6.5" x14ac:dyDescent="0.3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6.5" x14ac:dyDescent="0.3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6.5" x14ac:dyDescent="0.3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sheetProtection sheet="1" objects="1" scenarios="1"/>
  <mergeCells count="28">
    <mergeCell ref="C4:D4"/>
    <mergeCell ref="C5:D5"/>
    <mergeCell ref="C6:D6"/>
    <mergeCell ref="B7:F7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B17:D17"/>
    <mergeCell ref="C19:D19"/>
    <mergeCell ref="C20:D20"/>
    <mergeCell ref="C21:D21"/>
    <mergeCell ref="C22:D22"/>
    <mergeCell ref="C23:D23"/>
    <mergeCell ref="C24:D24"/>
    <mergeCell ref="C33:D33"/>
    <mergeCell ref="C34:D34"/>
    <mergeCell ref="B37:F37"/>
    <mergeCell ref="C25:D25"/>
    <mergeCell ref="C28:D28"/>
    <mergeCell ref="C29:D29"/>
    <mergeCell ref="C31:D31"/>
    <mergeCell ref="C32:D32"/>
  </mergeCells>
  <dataValidations count="2">
    <dataValidation type="decimal" allowBlank="1" showInputMessage="1" showErrorMessage="1" prompt="Erro na inserção de dados. - O percentual do Aviso Prévio Indenizado deverá ser inferior a 1,94%, conforme determinou o Tribunal de Contas da União por meio do Acórdão nº 1.904/2007 - Plenário." sqref="E23:E24">
      <formula1>0</formula1>
      <formula2>1.94</formula2>
    </dataValidation>
    <dataValidation type="decimal" allowBlank="1" showInputMessage="1" showErrorMessage="1" prompt="Erro na inserção de dados. - O percentual do Aviso Prévio Indenizado deverá ser inferior a 0,64%, conforme determinou o Tribunal de Contas da União por meio do Acórdão nº 1.904/2007 - Plenário." sqref="E20">
      <formula1>0</formula1>
      <formula2>0.46</formula2>
    </dataValidation>
  </dataValidations>
  <pageMargins left="0.179861111111111" right="0.17013888888888901" top="0.1" bottom="2.9861111111111099E-2" header="0.51180555555555496" footer="0.51180555555555496"/>
  <pageSetup paperSize="9" firstPageNumber="0" orientation="landscape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1000"/>
  <sheetViews>
    <sheetView topLeftCell="A22" zoomScale="90" zoomScaleNormal="90" workbookViewId="0">
      <selection activeCell="F22" sqref="F22"/>
    </sheetView>
  </sheetViews>
  <sheetFormatPr defaultRowHeight="14.25" x14ac:dyDescent="0.25"/>
  <cols>
    <col min="1" max="1" width="2.7109375" style="1" customWidth="1"/>
    <col min="2" max="2" width="8.85546875" style="1" customWidth="1"/>
    <col min="3" max="3" width="52.5703125" style="1" customWidth="1"/>
    <col min="4" max="4" width="15.42578125" style="1" customWidth="1"/>
    <col min="5" max="5" width="13.5703125" style="1" customWidth="1"/>
    <col min="6" max="6" width="20" style="1" customWidth="1"/>
    <col min="7" max="26" width="9.140625" style="1" customWidth="1"/>
    <col min="27" max="1025" width="12.5703125" style="1" customWidth="1"/>
  </cols>
  <sheetData>
    <row r="1" spans="1:26" ht="16.5" customHeight="1" x14ac:dyDescent="0.35">
      <c r="A1" s="2"/>
      <c r="B1" s="312" t="str">
        <f>RAMO</f>
        <v>RAMO: MINISTÉRIO PÚBLICO FEDERAL</v>
      </c>
      <c r="C1" s="312"/>
      <c r="D1" s="312"/>
      <c r="E1" s="312"/>
      <c r="F1" s="31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6.5" customHeight="1" x14ac:dyDescent="0.35">
      <c r="A2" s="2"/>
      <c r="B2" s="313">
        <f>UG</f>
        <v>0</v>
      </c>
      <c r="C2" s="313"/>
      <c r="D2" s="313"/>
      <c r="E2" s="93" t="s">
        <v>0</v>
      </c>
      <c r="F2" s="94" t="str">
        <f>DATA_DO_ORCAMENTO_ESTIMATIVO</f>
        <v>XX/XX/20XX</v>
      </c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5.5" x14ac:dyDescent="0.5">
      <c r="A3" s="3"/>
      <c r="B3" s="314" t="s">
        <v>191</v>
      </c>
      <c r="C3" s="314"/>
      <c r="D3" s="314"/>
      <c r="E3" s="314"/>
      <c r="F3" s="314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x14ac:dyDescent="0.3">
      <c r="A4" s="3"/>
      <c r="B4" s="315" t="s">
        <v>3</v>
      </c>
      <c r="C4" s="315"/>
      <c r="D4" s="315"/>
      <c r="E4" s="315"/>
      <c r="F4" s="315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customHeight="1" x14ac:dyDescent="0.3">
      <c r="A5" s="3"/>
      <c r="B5" s="299" t="s">
        <v>192</v>
      </c>
      <c r="C5" s="299"/>
      <c r="D5" s="308" t="str">
        <f>NUMERO_PROCESSO</f>
        <v>1.18.000.001751/2024-39</v>
      </c>
      <c r="E5" s="308"/>
      <c r="F5" s="308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5.75" customHeight="1" x14ac:dyDescent="0.3">
      <c r="A6" s="3"/>
      <c r="B6" s="298" t="s">
        <v>193</v>
      </c>
      <c r="C6" s="298"/>
      <c r="D6" s="310" t="str">
        <f>MODALIDADE_DE_LICITACAO</f>
        <v>Pregão nº</v>
      </c>
      <c r="E6" s="310"/>
      <c r="F6" s="95" t="str">
        <f>NUMERO_PREGAO</f>
        <v>90006/2025</v>
      </c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x14ac:dyDescent="0.3">
      <c r="A7" s="3"/>
      <c r="B7" s="311" t="s">
        <v>194</v>
      </c>
      <c r="C7" s="311"/>
      <c r="D7" s="311"/>
      <c r="E7" s="311"/>
      <c r="F7" s="311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8" customHeight="1" x14ac:dyDescent="0.3">
      <c r="A8" s="3"/>
      <c r="B8" s="4" t="s">
        <v>11</v>
      </c>
      <c r="C8" s="299" t="s">
        <v>12</v>
      </c>
      <c r="D8" s="299"/>
      <c r="E8" s="299"/>
      <c r="F8" s="97" t="str">
        <f>DATA_APRESENTACAO_PROPOSTA</f>
        <v>XX/XX/20XX</v>
      </c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5.75" customHeight="1" x14ac:dyDescent="0.25">
      <c r="A9" s="3"/>
      <c r="B9" s="5" t="s">
        <v>13</v>
      </c>
      <c r="C9" s="6" t="s">
        <v>14</v>
      </c>
      <c r="D9" s="286" t="str">
        <f>IF(LOCAL_DE_EXECUCAO="","",LOCAL_DE_EXECUCAO)</f>
        <v>PR-GO, PRM-ANS E PRM-LUZ</v>
      </c>
      <c r="E9" s="286"/>
      <c r="F9" s="286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8.75" customHeight="1" x14ac:dyDescent="0.3">
      <c r="A10" s="3"/>
      <c r="B10" s="4" t="s">
        <v>15</v>
      </c>
      <c r="C10" s="299" t="s">
        <v>18</v>
      </c>
      <c r="D10" s="299"/>
      <c r="E10" s="299"/>
      <c r="F10" s="98" t="str">
        <f>ACORDO_COLETIVO</f>
        <v>XX/20XX</v>
      </c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.75" customHeight="1" x14ac:dyDescent="0.3">
      <c r="A11" s="3"/>
      <c r="B11" s="5" t="s">
        <v>17</v>
      </c>
      <c r="C11" s="286" t="s">
        <v>20</v>
      </c>
      <c r="D11" s="286"/>
      <c r="E11" s="286"/>
      <c r="F11" s="85">
        <f>NUMERO_MESES_EXEC_CONTRATUAL</f>
        <v>12</v>
      </c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6.5" customHeight="1" x14ac:dyDescent="0.3">
      <c r="A12" s="3"/>
      <c r="B12" s="5" t="s">
        <v>19</v>
      </c>
      <c r="C12" s="282" t="s">
        <v>195</v>
      </c>
      <c r="D12" s="282"/>
      <c r="E12" s="282"/>
      <c r="F12" s="8">
        <f>IF(QTDE_POSTOS="","",QTDE_POSTOS)</f>
        <v>2</v>
      </c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" customHeight="1" x14ac:dyDescent="0.25">
      <c r="A13" s="99"/>
      <c r="B13" s="100" t="s">
        <v>45</v>
      </c>
      <c r="C13" s="101"/>
      <c r="D13" s="101"/>
      <c r="E13" s="101"/>
      <c r="F13" s="101"/>
      <c r="G13" s="99"/>
      <c r="H13" s="99"/>
      <c r="I13" s="99"/>
      <c r="J13" s="99"/>
      <c r="K13" s="99"/>
      <c r="L13" s="99"/>
      <c r="M13" s="99"/>
      <c r="N13" s="99"/>
      <c r="O13" s="99"/>
      <c r="P13" s="99"/>
      <c r="Q13" s="99"/>
      <c r="R13" s="99"/>
      <c r="S13" s="99"/>
      <c r="T13" s="99"/>
      <c r="U13" s="99"/>
      <c r="V13" s="99"/>
      <c r="W13" s="99"/>
      <c r="X13" s="99"/>
      <c r="Y13" s="99"/>
      <c r="Z13" s="99"/>
    </row>
    <row r="14" spans="1:26" ht="16.5" customHeight="1" x14ac:dyDescent="0.3">
      <c r="A14" s="3"/>
      <c r="B14" s="4">
        <v>1</v>
      </c>
      <c r="C14" s="299" t="s">
        <v>196</v>
      </c>
      <c r="D14" s="299"/>
      <c r="E14" s="308" t="str">
        <f>IF(TIPO_DE_SERVICO="","",TIPO_DE_SERVICO)</f>
        <v>APOIO OPERACIONAL</v>
      </c>
      <c r="F14" s="308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6.5" customHeight="1" x14ac:dyDescent="0.3">
      <c r="A15" s="3"/>
      <c r="B15" s="4">
        <v>2</v>
      </c>
      <c r="C15" s="102" t="s">
        <v>37</v>
      </c>
      <c r="D15" s="307" t="str">
        <f>IF(CBO="","",CBO)</f>
        <v/>
      </c>
      <c r="E15" s="307"/>
      <c r="F15" s="307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" customHeight="1" x14ac:dyDescent="0.3">
      <c r="A16" s="3"/>
      <c r="B16" s="4">
        <v>3</v>
      </c>
      <c r="C16" s="103" t="s">
        <v>41</v>
      </c>
      <c r="D16" s="308" t="str">
        <f>IF(CATEGORIA_PROFISSIONAL="","",CATEGORIA_PROFISSIONAL)</f>
        <v/>
      </c>
      <c r="E16" s="308"/>
      <c r="F16" s="308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" customHeight="1" x14ac:dyDescent="0.3">
      <c r="A17" s="3"/>
      <c r="B17" s="4">
        <v>4</v>
      </c>
      <c r="C17" s="298" t="s">
        <v>42</v>
      </c>
      <c r="D17" s="298"/>
      <c r="E17" s="298"/>
      <c r="F17" s="104" t="str">
        <f>DATA_BASE_CATEGORIA</f>
        <v>01/2025</v>
      </c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20.25" customHeight="1" x14ac:dyDescent="0.3">
      <c r="A18" s="105"/>
      <c r="B18" s="309" t="s">
        <v>197</v>
      </c>
      <c r="C18" s="309"/>
      <c r="D18" s="309"/>
      <c r="E18" s="309"/>
      <c r="F18" s="309"/>
      <c r="G18" s="105"/>
      <c r="H18" s="105"/>
      <c r="I18" s="105"/>
      <c r="J18" s="105"/>
      <c r="K18" s="105"/>
      <c r="L18" s="105"/>
      <c r="M18" s="105"/>
      <c r="N18" s="105"/>
      <c r="O18" s="105"/>
      <c r="P18" s="105"/>
      <c r="Q18" s="105"/>
      <c r="R18" s="105"/>
      <c r="S18" s="105"/>
      <c r="T18" s="105"/>
      <c r="U18" s="105"/>
      <c r="V18" s="105"/>
      <c r="W18" s="105"/>
      <c r="X18" s="105"/>
      <c r="Y18" s="105"/>
      <c r="Z18" s="105"/>
    </row>
    <row r="19" spans="1:26" ht="16.5" customHeight="1" x14ac:dyDescent="0.3">
      <c r="A19" s="2"/>
      <c r="B19" s="272" t="s">
        <v>198</v>
      </c>
      <c r="C19" s="272"/>
      <c r="D19" s="272"/>
      <c r="E19" s="272"/>
      <c r="F19" s="106">
        <f>IF(EMPREG_POR_POSTO="","",EMPREG_POR_POSTO)</f>
        <v>1</v>
      </c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6.5" customHeight="1" x14ac:dyDescent="0.3">
      <c r="A20" s="2"/>
      <c r="B20" s="38" t="s">
        <v>46</v>
      </c>
      <c r="C20" s="2"/>
      <c r="D20" s="2"/>
      <c r="E20" s="39"/>
      <c r="F20" s="39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6.5" customHeight="1" x14ac:dyDescent="0.3">
      <c r="A21" s="2"/>
      <c r="B21" s="5">
        <v>1</v>
      </c>
      <c r="C21" s="277" t="s">
        <v>47</v>
      </c>
      <c r="D21" s="277"/>
      <c r="E21" s="277"/>
      <c r="F21" s="40" t="s">
        <v>97</v>
      </c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6.5" customHeight="1" x14ac:dyDescent="0.3">
      <c r="A22" s="2"/>
      <c r="B22" s="5" t="s">
        <v>11</v>
      </c>
      <c r="C22" s="279" t="s">
        <v>199</v>
      </c>
      <c r="D22" s="279"/>
      <c r="E22" s="279"/>
      <c r="F22" s="107">
        <f>SALARIO_BASE</f>
        <v>1601.55</v>
      </c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6.5" customHeight="1" x14ac:dyDescent="0.3">
      <c r="A23" s="2"/>
      <c r="B23" s="5" t="s">
        <v>13</v>
      </c>
      <c r="C23" s="266" t="s">
        <v>200</v>
      </c>
      <c r="D23" s="266"/>
      <c r="E23" s="266"/>
      <c r="F23" s="108">
        <f>PERC_ADIC_PERIC%*SALARIO_BASE</f>
        <v>0</v>
      </c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5.75" customHeight="1" x14ac:dyDescent="0.3">
      <c r="A24" s="2"/>
      <c r="B24" s="5" t="s">
        <v>15</v>
      </c>
      <c r="C24" s="306" t="s">
        <v>201</v>
      </c>
      <c r="D24" s="306"/>
      <c r="E24" s="306"/>
      <c r="F24" s="107">
        <f>((AL_1_A_SAL_BASE_12x36+AL_1_B_ADIC_PERIC_12x36)/DIVISOR_DE_HORAS)*DIAS_NA_SEMANA*MEDIA_ANUAL_DIAS_TRABALHO_MES*PERC_ADIC_NOT%</f>
        <v>0</v>
      </c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5.75" customHeight="1" x14ac:dyDescent="0.3">
      <c r="A25" s="2"/>
      <c r="B25" s="5" t="s">
        <v>17</v>
      </c>
      <c r="C25" s="266" t="s">
        <v>202</v>
      </c>
      <c r="D25" s="266"/>
      <c r="E25" s="266"/>
      <c r="F25" s="108">
        <f>((AL_1_A_SAL_BASE_12x36+AL_1_B_ADIC_PERIC_12x36)/DIVISOR_DE_HORAS)*((HORA_NORMAL-HORA_NOTURNA)/HORA_NOTURNA)*DIAS_NA_SEMANA*MEDIA_ANUAL_DIAS_TRABALHO_MES*PERC_ADIC_NOT%</f>
        <v>0</v>
      </c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5.75" customHeight="1" x14ac:dyDescent="0.3">
      <c r="A26" s="2"/>
      <c r="B26" s="5" t="s">
        <v>19</v>
      </c>
      <c r="C26" s="267" t="s">
        <v>203</v>
      </c>
      <c r="D26" s="267"/>
      <c r="E26" s="267"/>
      <c r="F26" s="107">
        <f>IF(BC_ADIC_INSALUB="CCT",PERC_ADIC_INS%*SALARIO_BASE,IF(BC_ADIC_INSALUB="Salário Mínimo",PERC_ADIC_INS%*SAL_MINIMO,0))</f>
        <v>0</v>
      </c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6.5" customHeight="1" x14ac:dyDescent="0.3">
      <c r="A27" s="2"/>
      <c r="B27" s="5" t="s">
        <v>54</v>
      </c>
      <c r="C27" s="283" t="str">
        <f>OUTROS_REMUNERACAO_1_DESCRICAO</f>
        <v>Outras Remunerações 1 (Especificar)</v>
      </c>
      <c r="D27" s="283"/>
      <c r="E27" s="283"/>
      <c r="F27" s="108">
        <f>OUTROS_REMUNERACAO_1</f>
        <v>0</v>
      </c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6.5" customHeight="1" x14ac:dyDescent="0.3">
      <c r="A28" s="2"/>
      <c r="B28" s="5" t="s">
        <v>56</v>
      </c>
      <c r="C28" s="279" t="str">
        <f>OUTROS_REMUNERACAO_2_DESCRICAO</f>
        <v>Outras Remunerações 2 (Especificar)</v>
      </c>
      <c r="D28" s="279"/>
      <c r="E28" s="279"/>
      <c r="F28" s="107">
        <f>OUTROS_REMUNERACAO_2</f>
        <v>0</v>
      </c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6.5" customHeight="1" x14ac:dyDescent="0.3">
      <c r="A29" s="2"/>
      <c r="B29" s="5" t="s">
        <v>146</v>
      </c>
      <c r="C29" s="283" t="str">
        <f>OUTROS_REMUNERACAO_3_DESCRICAO</f>
        <v>Outras Remunerações 3 (Especificar)</v>
      </c>
      <c r="D29" s="283"/>
      <c r="E29" s="283"/>
      <c r="F29" s="108">
        <f>OUTROS_REMUNERACAO_3</f>
        <v>0</v>
      </c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6.5" customHeight="1" x14ac:dyDescent="0.3">
      <c r="A30" s="2"/>
      <c r="B30" s="277" t="s">
        <v>167</v>
      </c>
      <c r="C30" s="277"/>
      <c r="D30" s="277"/>
      <c r="E30" s="277"/>
      <c r="F30" s="109">
        <f>SUM(F22:F29)</f>
        <v>1601.55</v>
      </c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6.5" customHeight="1" x14ac:dyDescent="0.3">
      <c r="A31" s="2"/>
      <c r="B31" s="38" t="s">
        <v>58</v>
      </c>
      <c r="C31" s="2"/>
      <c r="D31" s="2"/>
      <c r="E31" s="49"/>
      <c r="F31" s="49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6.5" customHeight="1" x14ac:dyDescent="0.3">
      <c r="A32" s="2"/>
      <c r="B32" s="38" t="s">
        <v>149</v>
      </c>
      <c r="C32" s="61"/>
      <c r="D32" s="62"/>
      <c r="E32" s="63"/>
      <c r="F32" s="63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6.5" customHeight="1" x14ac:dyDescent="0.3">
      <c r="A33" s="2"/>
      <c r="B33" s="5" t="s">
        <v>150</v>
      </c>
      <c r="C33" s="272" t="s">
        <v>151</v>
      </c>
      <c r="D33" s="272"/>
      <c r="E33" s="40" t="s">
        <v>90</v>
      </c>
      <c r="F33" s="40" t="s">
        <v>97</v>
      </c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6.5" customHeight="1" x14ac:dyDescent="0.3">
      <c r="A34" s="2"/>
      <c r="B34" s="5" t="s">
        <v>11</v>
      </c>
      <c r="C34" s="267" t="s">
        <v>153</v>
      </c>
      <c r="D34" s="267"/>
      <c r="E34" s="89">
        <f>PERC_DEC_TERC</f>
        <v>8.3333333333333321</v>
      </c>
      <c r="F34" s="110">
        <f>PERC_DEC_TERC%*MOD_1_REMUNERACAO_12X36</f>
        <v>133.46249999999998</v>
      </c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6.5" customHeight="1" x14ac:dyDescent="0.3">
      <c r="A35" s="2"/>
      <c r="B35" s="40" t="s">
        <v>13</v>
      </c>
      <c r="C35" s="266" t="s">
        <v>155</v>
      </c>
      <c r="D35" s="266"/>
      <c r="E35" s="90">
        <f>PERC_ADIC_FERIAS</f>
        <v>2.7777777777777777</v>
      </c>
      <c r="F35" s="111">
        <f>PERC_ADIC_FERIAS%*MOD_1_REMUNERACAO_12X36</f>
        <v>44.487499999999997</v>
      </c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6.5" customHeight="1" x14ac:dyDescent="0.3">
      <c r="A36" s="48"/>
      <c r="B36" s="272" t="s">
        <v>167</v>
      </c>
      <c r="C36" s="272"/>
      <c r="D36" s="272"/>
      <c r="E36" s="272"/>
      <c r="F36" s="112">
        <f>SUM(F34:F35)</f>
        <v>177.95</v>
      </c>
      <c r="G36" s="48"/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</row>
    <row r="37" spans="1:26" ht="31.5" customHeight="1" x14ac:dyDescent="0.3">
      <c r="A37" s="48"/>
      <c r="B37" s="271" t="s">
        <v>157</v>
      </c>
      <c r="C37" s="271"/>
      <c r="D37" s="271"/>
      <c r="E37" s="271"/>
      <c r="F37" s="271"/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</row>
    <row r="38" spans="1:26" ht="34.5" customHeight="1" x14ac:dyDescent="0.3">
      <c r="A38" s="48"/>
      <c r="B38" s="5" t="s">
        <v>60</v>
      </c>
      <c r="C38" s="277" t="s">
        <v>158</v>
      </c>
      <c r="D38" s="277"/>
      <c r="E38" s="40" t="s">
        <v>90</v>
      </c>
      <c r="F38" s="40" t="s">
        <v>97</v>
      </c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8"/>
    </row>
    <row r="39" spans="1:26" ht="16.5" customHeight="1" x14ac:dyDescent="0.3">
      <c r="A39" s="2"/>
      <c r="B39" s="5" t="s">
        <v>11</v>
      </c>
      <c r="C39" s="267" t="s">
        <v>159</v>
      </c>
      <c r="D39" s="267"/>
      <c r="E39" s="89">
        <f>PERC_INSS</f>
        <v>20</v>
      </c>
      <c r="F39" s="110">
        <f>PERC_INSS%*(MOD_1_REMUNERACAO_12X36+SUBMOD_2_1_DEC_TERC_ADIC_FERIAS_12x36+SUBMOD_2_4_INTERVALO_INTRAJORNADA_12X36)</f>
        <v>355.90000000000003</v>
      </c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6.5" customHeight="1" x14ac:dyDescent="0.25">
      <c r="A40" s="3"/>
      <c r="B40" s="40" t="s">
        <v>13</v>
      </c>
      <c r="C40" s="266" t="s">
        <v>160</v>
      </c>
      <c r="D40" s="266"/>
      <c r="E40" s="91">
        <f>PERC_SAL_EDUCACAO</f>
        <v>2.5</v>
      </c>
      <c r="F40" s="111">
        <f>PERC_SAL_EDUCACAO%*(MOD_1_REMUNERACAO_12X36+SUBMOD_2_1_DEC_TERC_ADIC_FERIAS_12x36)</f>
        <v>44.487500000000004</v>
      </c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6.5" customHeight="1" x14ac:dyDescent="0.25">
      <c r="A41" s="3"/>
      <c r="B41" s="40" t="s">
        <v>15</v>
      </c>
      <c r="C41" s="267" t="s">
        <v>161</v>
      </c>
      <c r="D41" s="267"/>
      <c r="E41" s="89">
        <f>PERC_RAT</f>
        <v>3</v>
      </c>
      <c r="F41" s="110">
        <f>PERC_RAT%*(MOD_1_REMUNERACAO_12X36+SUBMOD_2_1_DEC_TERC_ADIC_FERIAS_12x36)</f>
        <v>53.384999999999998</v>
      </c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6.5" customHeight="1" x14ac:dyDescent="0.25">
      <c r="A42" s="3"/>
      <c r="B42" s="40" t="s">
        <v>17</v>
      </c>
      <c r="C42" s="266" t="s">
        <v>162</v>
      </c>
      <c r="D42" s="266"/>
      <c r="E42" s="90">
        <f>PERC_SESC</f>
        <v>1.5</v>
      </c>
      <c r="F42" s="111">
        <f>PERC_SESC%*(MOD_1_REMUNERACAO_12X36+SUBMOD_2_1_DEC_TERC_ADIC_FERIAS_12x36)</f>
        <v>26.692499999999999</v>
      </c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6.5" customHeight="1" x14ac:dyDescent="0.25">
      <c r="A43" s="3"/>
      <c r="B43" s="40" t="s">
        <v>19</v>
      </c>
      <c r="C43" s="267" t="s">
        <v>163</v>
      </c>
      <c r="D43" s="267"/>
      <c r="E43" s="89">
        <f>PERC_SENAC</f>
        <v>1</v>
      </c>
      <c r="F43" s="110">
        <f>PERC_SENAC%*(MOD_1_REMUNERACAO_12X36+SUBMOD_2_1_DEC_TERC_ADIC_FERIAS_12x36)</f>
        <v>17.795000000000002</v>
      </c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6.5" customHeight="1" x14ac:dyDescent="0.25">
      <c r="A44" s="3"/>
      <c r="B44" s="40" t="s">
        <v>54</v>
      </c>
      <c r="C44" s="266" t="s">
        <v>164</v>
      </c>
      <c r="D44" s="266"/>
      <c r="E44" s="91">
        <f>PERC_SEBRAE</f>
        <v>0.6</v>
      </c>
      <c r="F44" s="111">
        <f>PERC_SEBRAE%*(MOD_1_REMUNERACAO_12X36+SUBMOD_2_1_DEC_TERC_ADIC_FERIAS_12x36)</f>
        <v>10.677</v>
      </c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6.5" customHeight="1" x14ac:dyDescent="0.25">
      <c r="A45" s="3"/>
      <c r="B45" s="40" t="s">
        <v>56</v>
      </c>
      <c r="C45" s="267" t="s">
        <v>165</v>
      </c>
      <c r="D45" s="267"/>
      <c r="E45" s="89">
        <f>PERC_INCRA</f>
        <v>0.2</v>
      </c>
      <c r="F45" s="110">
        <f>PERC_INCRA%*(MOD_1_REMUNERACAO_12X36+SUBMOD_2_1_DEC_TERC_ADIC_FERIAS_12x36)</f>
        <v>3.5590000000000002</v>
      </c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6.5" customHeight="1" x14ac:dyDescent="0.3">
      <c r="A46" s="2"/>
      <c r="B46" s="40" t="s">
        <v>146</v>
      </c>
      <c r="C46" s="266" t="s">
        <v>166</v>
      </c>
      <c r="D46" s="266"/>
      <c r="E46" s="91">
        <f>PERC_FGTS</f>
        <v>8</v>
      </c>
      <c r="F46" s="111">
        <f>PERC_FGTS%*(MOD_1_REMUNERACAO_12X36+SUBMOD_2_1_DEC_TERC_ADIC_FERIAS_12x36)</f>
        <v>142.36000000000001</v>
      </c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6.5" customHeight="1" x14ac:dyDescent="0.3">
      <c r="A47" s="2"/>
      <c r="B47" s="272" t="s">
        <v>167</v>
      </c>
      <c r="C47" s="272"/>
      <c r="D47" s="272"/>
      <c r="E47" s="272"/>
      <c r="F47" s="113">
        <f>SUM(F39:F46)</f>
        <v>654.85600000000011</v>
      </c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5.75" customHeight="1" x14ac:dyDescent="0.3">
      <c r="A48" s="2"/>
      <c r="B48" s="38" t="s">
        <v>64</v>
      </c>
      <c r="C48" s="3"/>
      <c r="D48" s="3"/>
      <c r="E48" s="3"/>
      <c r="F48" s="3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5.75" customHeight="1" x14ac:dyDescent="0.3">
      <c r="A49" s="2"/>
      <c r="B49" s="5" t="s">
        <v>65</v>
      </c>
      <c r="C49" s="277" t="s">
        <v>66</v>
      </c>
      <c r="D49" s="277"/>
      <c r="E49" s="277"/>
      <c r="F49" s="40" t="s">
        <v>97</v>
      </c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6.5" customHeight="1" x14ac:dyDescent="0.3">
      <c r="A50" s="2"/>
      <c r="B50" s="4" t="s">
        <v>11</v>
      </c>
      <c r="C50" s="267" t="s">
        <v>204</v>
      </c>
      <c r="D50" s="267"/>
      <c r="E50" s="267"/>
      <c r="F50" s="110">
        <f>IF(((TRANSPORTE_POR_DIA*DIAS_TRABALHADOS_NO_MES_12X36)-(PERC_DESC_TRANSP_REMUNERACAO%*(AL_1_A_SAL_BASE_12x36/2)))&gt;0,((TRANSPORTE_POR_DIA*DIAS_TRABALHADOS_NO_MES_12X36)-(PERC_DESC_TRANSP_REMUNERACAO%*(AL_1_A_SAL_BASE_12x36/2))),0)</f>
        <v>80.953500000000005</v>
      </c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6.5" customHeight="1" x14ac:dyDescent="0.3">
      <c r="A51" s="48"/>
      <c r="B51" s="4" t="s">
        <v>13</v>
      </c>
      <c r="C51" s="266" t="s">
        <v>72</v>
      </c>
      <c r="D51" s="266"/>
      <c r="E51" s="266"/>
      <c r="F51" s="111">
        <f>IF(AND(ADESAO_AO_PAT="Sim",PERC_PAT&lt;&gt;""),ALIMENTACAO_POR_DIA*DIAS_TRABALHADOS_NO_MES_12X36*(100-PERC_PAT)%,IF(AND(ADESAO_AO_PAT="Sim",PERC_PAT=""),"Insira o % do PAT",ALIMENTACAO_POR_DIA*DIAS_TRABALHADOS_NO_MES_12X36))</f>
        <v>375</v>
      </c>
      <c r="G51" s="48"/>
      <c r="H51" s="48"/>
      <c r="I51" s="48"/>
      <c r="J51" s="48"/>
      <c r="K51" s="48"/>
      <c r="L51" s="48"/>
      <c r="M51" s="48"/>
      <c r="N51" s="48"/>
      <c r="O51" s="48"/>
      <c r="P51" s="48"/>
      <c r="Q51" s="48"/>
      <c r="R51" s="48"/>
      <c r="S51" s="48"/>
      <c r="T51" s="48"/>
      <c r="U51" s="48"/>
      <c r="V51" s="48"/>
      <c r="W51" s="48"/>
      <c r="X51" s="48"/>
      <c r="Y51" s="48"/>
      <c r="Z51" s="48"/>
    </row>
    <row r="52" spans="1:26" ht="16.5" customHeight="1" x14ac:dyDescent="0.3">
      <c r="A52" s="48"/>
      <c r="B52" s="4" t="s">
        <v>15</v>
      </c>
      <c r="C52" s="279" t="str">
        <f>OUTROS_BENEFICIOS_1_DESCRICAO</f>
        <v>Amparo Familiar</v>
      </c>
      <c r="D52" s="279"/>
      <c r="E52" s="279"/>
      <c r="F52" s="110">
        <f>OUTROS_BENEFICIOS_1</f>
        <v>16</v>
      </c>
      <c r="G52" s="48"/>
      <c r="H52" s="48"/>
      <c r="I52" s="48"/>
      <c r="J52" s="48"/>
      <c r="K52" s="48"/>
      <c r="L52" s="48"/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48"/>
      <c r="X52" s="48"/>
      <c r="Y52" s="48"/>
      <c r="Z52" s="48"/>
    </row>
    <row r="53" spans="1:26" ht="16.5" customHeight="1" x14ac:dyDescent="0.3">
      <c r="A53" s="48"/>
      <c r="B53" s="4" t="s">
        <v>17</v>
      </c>
      <c r="C53" s="283" t="str">
        <f>OUTROS_BENEFICIOS_2_DESCRICAO</f>
        <v>Cota de Aprendizagem</v>
      </c>
      <c r="D53" s="283"/>
      <c r="E53" s="283"/>
      <c r="F53" s="111">
        <f>OUTROS_BENEFICIOS_2</f>
        <v>72.37</v>
      </c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</row>
    <row r="54" spans="1:26" ht="16.5" customHeight="1" x14ac:dyDescent="0.3">
      <c r="A54" s="48"/>
      <c r="B54" s="4" t="s">
        <v>19</v>
      </c>
      <c r="C54" s="279" t="str">
        <f>OUTROS_BENEFICIOS_3_DESCRICAO</f>
        <v>Seguro de vida</v>
      </c>
      <c r="D54" s="279"/>
      <c r="E54" s="279"/>
      <c r="F54" s="110">
        <f>OUTROS_BENEFICIOS_3</f>
        <v>4</v>
      </c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</row>
    <row r="55" spans="1:26" ht="15" customHeight="1" x14ac:dyDescent="0.3">
      <c r="A55" s="48"/>
      <c r="B55" s="277" t="s">
        <v>167</v>
      </c>
      <c r="C55" s="277"/>
      <c r="D55" s="277"/>
      <c r="E55" s="277"/>
      <c r="F55" s="109">
        <f>SUM(F50:F54)</f>
        <v>548.32349999999997</v>
      </c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8"/>
    </row>
    <row r="56" spans="1:26" ht="15.75" customHeight="1" x14ac:dyDescent="0.3">
      <c r="A56" s="2"/>
      <c r="B56" s="38" t="s">
        <v>80</v>
      </c>
      <c r="C56" s="3"/>
      <c r="D56" s="3"/>
      <c r="E56" s="3"/>
      <c r="F56" s="3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5.75" customHeight="1" x14ac:dyDescent="0.3">
      <c r="A57" s="2"/>
      <c r="B57" s="5" t="s">
        <v>81</v>
      </c>
      <c r="C57" s="272" t="s">
        <v>82</v>
      </c>
      <c r="D57" s="272"/>
      <c r="E57" s="272"/>
      <c r="F57" s="40" t="s">
        <v>97</v>
      </c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6.5" customHeight="1" x14ac:dyDescent="0.3">
      <c r="A58" s="2"/>
      <c r="B58" s="4" t="s">
        <v>11</v>
      </c>
      <c r="C58" s="279" t="s">
        <v>82</v>
      </c>
      <c r="D58" s="279"/>
      <c r="E58" s="279"/>
      <c r="F58" s="110">
        <f>(MOD_1_REMUNERACAO_12X36*(TEMPO_INTERVALO_REFEICAO_INTERV_INTRA/60)*(1+PERC_HORA_EXTRA%)*DIAS_TRABALHADOS_NO_MES_12X36)/DIVISOR_DE_HORAS</f>
        <v>0</v>
      </c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6.5" customHeight="1" x14ac:dyDescent="0.3">
      <c r="A59" s="3"/>
      <c r="B59" s="272" t="s">
        <v>167</v>
      </c>
      <c r="C59" s="272"/>
      <c r="D59" s="272"/>
      <c r="E59" s="272"/>
      <c r="F59" s="112">
        <f>SUM(F58)</f>
        <v>0</v>
      </c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6.5" customHeight="1" x14ac:dyDescent="0.3">
      <c r="A60" s="48"/>
      <c r="B60" s="38" t="s">
        <v>131</v>
      </c>
      <c r="C60" s="61"/>
      <c r="D60" s="62"/>
      <c r="E60" s="63"/>
      <c r="F60" s="63"/>
      <c r="G60" s="48"/>
      <c r="H60" s="48"/>
      <c r="I60" s="48"/>
      <c r="J60" s="48"/>
      <c r="K60" s="48"/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  <c r="W60" s="48"/>
      <c r="X60" s="48"/>
      <c r="Y60" s="48"/>
      <c r="Z60" s="48"/>
    </row>
    <row r="61" spans="1:26" ht="15" customHeight="1" x14ac:dyDescent="0.3">
      <c r="A61" s="48"/>
      <c r="B61" s="5">
        <v>3</v>
      </c>
      <c r="C61" s="272" t="s">
        <v>132</v>
      </c>
      <c r="D61" s="272"/>
      <c r="E61" s="40" t="s">
        <v>90</v>
      </c>
      <c r="F61" s="40" t="s">
        <v>97</v>
      </c>
      <c r="G61" s="48"/>
      <c r="H61" s="48"/>
      <c r="I61" s="48"/>
      <c r="J61" s="48"/>
      <c r="K61" s="48"/>
      <c r="L61" s="48"/>
      <c r="M61" s="48"/>
      <c r="N61" s="48"/>
      <c r="O61" s="48"/>
      <c r="P61" s="48"/>
      <c r="Q61" s="48"/>
      <c r="R61" s="48"/>
      <c r="S61" s="48"/>
      <c r="T61" s="48"/>
      <c r="U61" s="48"/>
      <c r="V61" s="48"/>
      <c r="W61" s="48"/>
      <c r="X61" s="48"/>
      <c r="Y61" s="48"/>
      <c r="Z61" s="48"/>
    </row>
    <row r="62" spans="1:26" ht="16.5" customHeight="1" x14ac:dyDescent="0.3">
      <c r="A62" s="48"/>
      <c r="B62" s="5" t="s">
        <v>11</v>
      </c>
      <c r="C62" s="282" t="s">
        <v>168</v>
      </c>
      <c r="D62" s="282"/>
      <c r="E62" s="89">
        <f>PERC_AVISO_PREVIO_IND</f>
        <v>0.29105124999999998</v>
      </c>
      <c r="F62" s="110">
        <f>PERC_AVISO_PREVIO_IND%*(MOD_1_REMUNERACAO_12X36+SUBMOD_2_1_DEC_TERC_ADIC_FERIAS_12x36)</f>
        <v>5.1792569937499993</v>
      </c>
      <c r="G62" s="48"/>
      <c r="H62" s="48"/>
      <c r="I62" s="48"/>
      <c r="J62" s="48"/>
      <c r="K62" s="48"/>
      <c r="L62" s="48"/>
      <c r="M62" s="48"/>
      <c r="N62" s="48"/>
      <c r="O62" s="48"/>
      <c r="P62" s="48"/>
      <c r="Q62" s="48"/>
      <c r="R62" s="48"/>
      <c r="S62" s="48"/>
      <c r="T62" s="48"/>
      <c r="U62" s="48"/>
      <c r="V62" s="48"/>
      <c r="W62" s="48"/>
      <c r="X62" s="48"/>
      <c r="Y62" s="48"/>
      <c r="Z62" s="48"/>
    </row>
    <row r="63" spans="1:26" ht="16.5" customHeight="1" x14ac:dyDescent="0.3">
      <c r="A63" s="48"/>
      <c r="B63" s="40" t="s">
        <v>13</v>
      </c>
      <c r="C63" s="286" t="s">
        <v>170</v>
      </c>
      <c r="D63" s="286"/>
      <c r="E63" s="91">
        <f>INCID_FGTS_SOBRE_API</f>
        <v>2.3284099999999999E-2</v>
      </c>
      <c r="F63" s="111">
        <f>INCID_FGTS_SOBRE_API%*(MOD_1_REMUNERACAO_12X36+SUBMOD_2_1_DEC_TERC_ADIC_FERIAS_12x36)</f>
        <v>0.41434055949999998</v>
      </c>
      <c r="G63" s="48"/>
      <c r="H63" s="48"/>
      <c r="I63" s="48"/>
      <c r="J63" s="48"/>
      <c r="K63" s="48"/>
      <c r="L63" s="48"/>
      <c r="M63" s="48"/>
      <c r="N63" s="48"/>
      <c r="O63" s="48"/>
      <c r="P63" s="48"/>
      <c r="Q63" s="48"/>
      <c r="R63" s="48"/>
      <c r="S63" s="48"/>
      <c r="T63" s="48"/>
      <c r="U63" s="48"/>
      <c r="V63" s="48"/>
      <c r="W63" s="48"/>
      <c r="X63" s="48"/>
      <c r="Y63" s="48"/>
      <c r="Z63" s="48"/>
    </row>
    <row r="64" spans="1:26" ht="16.5" customHeight="1" x14ac:dyDescent="0.25">
      <c r="A64" s="3"/>
      <c r="B64" s="40" t="s">
        <v>15</v>
      </c>
      <c r="C64" s="282" t="s">
        <v>172</v>
      </c>
      <c r="D64" s="282"/>
      <c r="E64" s="89">
        <f>PERC_MULTA_FGTS_AV_PREV_IND</f>
        <v>0.11176368</v>
      </c>
      <c r="F64" s="110">
        <f>PERC_MULTA_FGTS_AV_PREV_IND%*(MOD_1_REMUNERACAO_12X36+SUBMOD_2_1_DEC_TERC_ADIC_FERIAS_12x36)</f>
        <v>1.9888346856000001</v>
      </c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6.5" customHeight="1" x14ac:dyDescent="0.25">
      <c r="A65" s="3"/>
      <c r="B65" s="40" t="s">
        <v>17</v>
      </c>
      <c r="C65" s="286" t="s">
        <v>174</v>
      </c>
      <c r="D65" s="286"/>
      <c r="E65" s="91">
        <f>PERC_AVISO_PREVIO_TRAB</f>
        <v>1.1557269305555555</v>
      </c>
      <c r="F65" s="111">
        <f>PERC_AVISO_PREVIO_TRAB%*(MOD_1_REMUNERACAO_12X36+SUBMOD_2_1_DEC_TERC_ADIC_FERIAS_12x36)</f>
        <v>20.56616072923611</v>
      </c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6.5" customHeight="1" x14ac:dyDescent="0.25">
      <c r="A66" s="3"/>
      <c r="B66" s="40" t="s">
        <v>19</v>
      </c>
      <c r="C66" s="282" t="s">
        <v>176</v>
      </c>
      <c r="D66" s="282"/>
      <c r="E66" s="89">
        <f>INCID_SUBMOD_2_2_APT</f>
        <v>0.42530751044444437</v>
      </c>
      <c r="F66" s="110">
        <f>E66%*(MOD_1_REMUNERACAO_12X36+SUBMOD_2_1_DEC_TERC_ADIC_FERIAS_12x36)</f>
        <v>7.568347148358888</v>
      </c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6.5" customHeight="1" x14ac:dyDescent="0.25">
      <c r="A67" s="3"/>
      <c r="B67" s="40" t="s">
        <v>54</v>
      </c>
      <c r="C67" s="286" t="s">
        <v>178</v>
      </c>
      <c r="D67" s="286"/>
      <c r="E67" s="91">
        <f>PERC_MULTA_FGTS_AV_PREV_TRAB</f>
        <v>1.9019963200000001</v>
      </c>
      <c r="F67" s="111">
        <f>PERC_MULTA_FGTS_AV_PREV_TRAB%*(MOD_1_REMUNERACAO_12X36+SUBMOD_2_1_DEC_TERC_ADIC_FERIAS_12x36)</f>
        <v>33.8460245144</v>
      </c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6.5" customHeight="1" x14ac:dyDescent="0.3">
      <c r="A68" s="3"/>
      <c r="B68" s="272" t="s">
        <v>167</v>
      </c>
      <c r="C68" s="272"/>
      <c r="D68" s="272"/>
      <c r="E68" s="272"/>
      <c r="F68" s="112">
        <f>SUM(F62:F67)</f>
        <v>69.562964630844988</v>
      </c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7.5" customHeight="1" x14ac:dyDescent="0.3">
      <c r="A69" s="2"/>
      <c r="B69" s="114"/>
      <c r="C69" s="2"/>
      <c r="D69" s="27"/>
      <c r="E69" s="39"/>
      <c r="F69" s="39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5.75" customHeight="1" x14ac:dyDescent="0.3">
      <c r="A70" s="3"/>
      <c r="B70" s="38" t="s">
        <v>86</v>
      </c>
      <c r="C70" s="61"/>
      <c r="D70" s="62"/>
      <c r="E70" s="2"/>
      <c r="F70" s="2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5.75" customHeight="1" x14ac:dyDescent="0.3">
      <c r="A71" s="3"/>
      <c r="B71" s="38" t="s">
        <v>87</v>
      </c>
      <c r="C71" s="61"/>
      <c r="D71" s="62"/>
      <c r="E71" s="63"/>
      <c r="F71" s="6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6.5" customHeight="1" x14ac:dyDescent="0.25">
      <c r="A72" s="3"/>
      <c r="B72" s="5" t="s">
        <v>88</v>
      </c>
      <c r="C72" s="277" t="s">
        <v>89</v>
      </c>
      <c r="D72" s="277"/>
      <c r="E72" s="40" t="s">
        <v>90</v>
      </c>
      <c r="F72" s="40" t="s">
        <v>97</v>
      </c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5.75" customHeight="1" x14ac:dyDescent="0.25">
      <c r="A73" s="3"/>
      <c r="B73" s="40" t="s">
        <v>11</v>
      </c>
      <c r="C73" s="267" t="s">
        <v>180</v>
      </c>
      <c r="D73" s="267"/>
      <c r="E73" s="89">
        <f>PERC_SUBSTITUTO_FERIAS</f>
        <v>8.3333333333333321</v>
      </c>
      <c r="F73" s="110">
        <f>PERC_SUBSTITUTO_FERIAS%*(MOD_1_REMUNERACAO_12X36+MOD_2_ENCARGOS_BENEFICIOS_12x36)</f>
        <v>248.55662499999997</v>
      </c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5.75" customHeight="1" x14ac:dyDescent="0.25">
      <c r="A74" s="3"/>
      <c r="B74" s="40" t="s">
        <v>13</v>
      </c>
      <c r="C74" s="266" t="s">
        <v>182</v>
      </c>
      <c r="D74" s="266"/>
      <c r="E74" s="91">
        <f>PERC_SUBSTITUTO_AUSENCIAS_LEGAIS</f>
        <v>2.2222222222222223</v>
      </c>
      <c r="F74" s="111">
        <f>PERC_SUBSTITUTO_AUSENCIAS_LEGAIS%*(MOD_1_REMUNERACAO_12X36+MOD_2_ENCARGOS_BENEFICIOS_12x36)</f>
        <v>66.28176666666667</v>
      </c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5.75" customHeight="1" x14ac:dyDescent="0.25">
      <c r="A75" s="3"/>
      <c r="B75" s="40" t="s">
        <v>15</v>
      </c>
      <c r="C75" s="267" t="s">
        <v>184</v>
      </c>
      <c r="D75" s="267"/>
      <c r="E75" s="89">
        <f>PERC_SUBSTITUTO_LICENCA_PATERNIDADE</f>
        <v>1.7051833333333329E-2</v>
      </c>
      <c r="F75" s="110">
        <f>PERC_SUBSTITUTO_LICENCA_PATERNIDADE%*(MOD_1_REMUNERACAO_12X36+MOD_2_ENCARGOS_BENEFICIOS_12x36)</f>
        <v>0.5086015372074999</v>
      </c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6.5" customHeight="1" x14ac:dyDescent="0.25">
      <c r="A76" s="3"/>
      <c r="B76" s="40" t="s">
        <v>17</v>
      </c>
      <c r="C76" s="266" t="s">
        <v>186</v>
      </c>
      <c r="D76" s="266"/>
      <c r="E76" s="91">
        <f>PERC_SUBSTITUTO_ACID_TRAB</f>
        <v>1.85302229372558E-2</v>
      </c>
      <c r="F76" s="111">
        <f>PERC_SUBSTITUTO_ACID_TRAB%*(MOD_1_REMUNERACAO_12X36+MOD_2_ENCARGOS_BENEFICIOS_12x36)</f>
        <v>0.55269716085382659</v>
      </c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6.5" customHeight="1" x14ac:dyDescent="0.25">
      <c r="A77" s="3"/>
      <c r="B77" s="40" t="s">
        <v>19</v>
      </c>
      <c r="C77" s="267" t="s">
        <v>188</v>
      </c>
      <c r="D77" s="267"/>
      <c r="E77" s="89">
        <f>PERC_SUBSTITUTO_AFAST_MATERN</f>
        <v>2.3584874666666662E-2</v>
      </c>
      <c r="F77" s="110">
        <f>PERC_SUBSTITUTO_AFAST_MATERN%*(MOD_1_REMUNERACAO_12X36+MOD_2_ENCARGOS_BENEFICIOS_12x36)</f>
        <v>0.7034612217833599</v>
      </c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6.5" customHeight="1" x14ac:dyDescent="0.25">
      <c r="A78" s="3"/>
      <c r="B78" s="40" t="s">
        <v>54</v>
      </c>
      <c r="C78" s="300" t="str">
        <f>OUTRAS_AUSENCIAS_DESCRICAO</f>
        <v>Outras Ausências (Especificar em %)</v>
      </c>
      <c r="D78" s="300"/>
      <c r="E78" s="115">
        <f>PERC_SUBSTITUTO_OUTRAS_AUSENCIAS</f>
        <v>0</v>
      </c>
      <c r="F78" s="111">
        <f>PERC_SUBSTITUTO_OUTRAS_AUSENCIAS%*(MOD_1_REMUNERACAO_12X36+MOD_2_ENCARGOS_BENEFICIOS_12x36)</f>
        <v>0</v>
      </c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6.5" customHeight="1" x14ac:dyDescent="0.3">
      <c r="A79" s="3"/>
      <c r="B79" s="272" t="s">
        <v>167</v>
      </c>
      <c r="C79" s="272"/>
      <c r="D79" s="272"/>
      <c r="E79" s="272"/>
      <c r="F79" s="112">
        <f>SUM(F73:F78)</f>
        <v>316.60315158651133</v>
      </c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5" customHeight="1" x14ac:dyDescent="0.3">
      <c r="A80" s="3"/>
      <c r="B80" s="38" t="s">
        <v>92</v>
      </c>
      <c r="C80" s="61"/>
      <c r="D80" s="62"/>
      <c r="E80" s="63"/>
      <c r="F80" s="6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6.5" customHeight="1" x14ac:dyDescent="0.25">
      <c r="A81" s="3"/>
      <c r="B81" s="5" t="s">
        <v>93</v>
      </c>
      <c r="C81" s="272" t="s">
        <v>94</v>
      </c>
      <c r="D81" s="272"/>
      <c r="E81" s="272"/>
      <c r="F81" s="40" t="s">
        <v>97</v>
      </c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6.5" customHeight="1" x14ac:dyDescent="0.25">
      <c r="A82" s="3"/>
      <c r="B82" s="5" t="s">
        <v>11</v>
      </c>
      <c r="C82" s="267" t="s">
        <v>205</v>
      </c>
      <c r="D82" s="267"/>
      <c r="E82" s="267"/>
      <c r="F82" s="107">
        <f>((MOD_1_REMUNERACAO_12X36+MOD_2_ENCARGOS_BENEFICIOS_12x36-SUBMOD_2_4_INTERVALO_INTRAJORNADA_12X36+MOD_3_PROVISAO_RESCISAO_12x36)/DIVISOR_DE_HORAS)*((TEMPO_INTERVALO_REFEICAO_SUBST_INTRA/HORA_NORMAL))*DIAS_TRABALHADOS_NO_MES_12X36</f>
        <v>0</v>
      </c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6.5" customHeight="1" x14ac:dyDescent="0.3">
      <c r="A83" s="3"/>
      <c r="B83" s="272" t="s">
        <v>167</v>
      </c>
      <c r="C83" s="272"/>
      <c r="D83" s="272"/>
      <c r="E83" s="272"/>
      <c r="F83" s="112">
        <f>SUM(F82)</f>
        <v>0</v>
      </c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7.5" customHeight="1" x14ac:dyDescent="0.3">
      <c r="A84" s="2"/>
      <c r="B84" s="114"/>
      <c r="C84" s="2"/>
      <c r="D84" s="27"/>
      <c r="E84" s="39"/>
      <c r="F84" s="39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6.5" customHeight="1" x14ac:dyDescent="0.3">
      <c r="A85" s="2"/>
      <c r="B85" s="38" t="s">
        <v>95</v>
      </c>
      <c r="C85" s="61"/>
      <c r="D85" s="61"/>
      <c r="E85" s="63"/>
      <c r="F85" s="63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5.75" customHeight="1" x14ac:dyDescent="0.3">
      <c r="A86" s="2"/>
      <c r="B86" s="64">
        <v>5</v>
      </c>
      <c r="C86" s="273" t="s">
        <v>96</v>
      </c>
      <c r="D86" s="273"/>
      <c r="E86" s="273"/>
      <c r="F86" s="65" t="s">
        <v>97</v>
      </c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6.5" customHeight="1" x14ac:dyDescent="0.3">
      <c r="A87" s="2"/>
      <c r="B87" s="66" t="s">
        <v>11</v>
      </c>
      <c r="C87" s="274" t="s">
        <v>98</v>
      </c>
      <c r="D87" s="274"/>
      <c r="E87" s="274"/>
      <c r="F87" s="116">
        <f>UNIFORMES</f>
        <v>84.899999999999991</v>
      </c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6.5" customHeight="1" x14ac:dyDescent="0.3">
      <c r="A88" s="2"/>
      <c r="B88" s="66" t="s">
        <v>13</v>
      </c>
      <c r="C88" s="275" t="s">
        <v>99</v>
      </c>
      <c r="D88" s="275"/>
      <c r="E88" s="275"/>
      <c r="F88" s="117">
        <f>MATERIAIS</f>
        <v>0</v>
      </c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6.5" customHeight="1" x14ac:dyDescent="0.3">
      <c r="A89" s="2"/>
      <c r="B89" s="66" t="s">
        <v>15</v>
      </c>
      <c r="C89" s="274" t="s">
        <v>100</v>
      </c>
      <c r="D89" s="274"/>
      <c r="E89" s="274"/>
      <c r="F89" s="116">
        <f>EQUIPAMENTOS</f>
        <v>0</v>
      </c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6.5" customHeight="1" x14ac:dyDescent="0.3">
      <c r="A90" s="2"/>
      <c r="B90" s="66" t="s">
        <v>17</v>
      </c>
      <c r="C90" s="305" t="str">
        <f>OUTROS_INSUMOS_DESCRICAO</f>
        <v>EPIs</v>
      </c>
      <c r="D90" s="305"/>
      <c r="E90" s="305"/>
      <c r="F90" s="117">
        <f>OUTROS_INSUMOS</f>
        <v>0</v>
      </c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6.5" customHeight="1" x14ac:dyDescent="0.3">
      <c r="A91" s="2"/>
      <c r="B91" s="273" t="s">
        <v>167</v>
      </c>
      <c r="C91" s="273"/>
      <c r="D91" s="273"/>
      <c r="E91" s="273"/>
      <c r="F91" s="118">
        <f>SUM(F87:F90)</f>
        <v>84.899999999999991</v>
      </c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7.5" customHeight="1" x14ac:dyDescent="0.3">
      <c r="A92" s="2"/>
      <c r="B92" s="114"/>
      <c r="C92" s="2"/>
      <c r="D92" s="27"/>
      <c r="E92" s="39"/>
      <c r="F92" s="39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5" customHeight="1" x14ac:dyDescent="0.3">
      <c r="A93" s="2"/>
      <c r="B93" s="304" t="s">
        <v>102</v>
      </c>
      <c r="C93" s="304"/>
      <c r="D93" s="304"/>
      <c r="E93" s="304"/>
      <c r="F93" s="304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6.5" customHeight="1" x14ac:dyDescent="0.3">
      <c r="A94" s="2"/>
      <c r="B94" s="5">
        <v>6</v>
      </c>
      <c r="C94" s="272" t="s">
        <v>103</v>
      </c>
      <c r="D94" s="272"/>
      <c r="E94" s="40" t="s">
        <v>90</v>
      </c>
      <c r="F94" s="40" t="s">
        <v>97</v>
      </c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6.5" customHeight="1" x14ac:dyDescent="0.3">
      <c r="A95" s="2"/>
      <c r="B95" s="5" t="s">
        <v>11</v>
      </c>
      <c r="C95" s="267" t="s">
        <v>104</v>
      </c>
      <c r="D95" s="267"/>
      <c r="E95" s="119">
        <f>PERC_CUSTOS_INDIRETOS</f>
        <v>4.7300000000000004</v>
      </c>
      <c r="F95" s="110">
        <f>PERC_CUSTOS_INDIRETOS%*(MOD_1_REMUNERACAO_12X36+MOD_2_ENCARGOS_BENEFICIOS_12x36+MOD_3_PROVISAO_RESCISAO_12x36+MOD_4_CUSTO_REPOSICAO_12x36+MOD_5_INSUMOS_12x36)</f>
        <v>163.36216764708095</v>
      </c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5.75" customHeight="1" x14ac:dyDescent="0.3">
      <c r="A96" s="2"/>
      <c r="B96" s="40" t="s">
        <v>13</v>
      </c>
      <c r="C96" s="266" t="s">
        <v>105</v>
      </c>
      <c r="D96" s="266"/>
      <c r="E96" s="120">
        <f>PERC_LUCRO</f>
        <v>5.57</v>
      </c>
      <c r="F96" s="111">
        <f>PERC_LUCRO%*(MOD_1_REMUNERACAO_12X36+MOD_2_ENCARGOS_BENEFICIOS_12x36+MOD_3_PROVISAO_RESCISAO_12x36+MOD_4_CUSTO_REPOSICAO_12x36+MOD_5_INSUMOS_12x36+AL_6_A_CUSTOS_INDIRETOS_12x36)</f>
        <v>201.47290356124915</v>
      </c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6.5" customHeight="1" x14ac:dyDescent="0.3">
      <c r="A97" s="2"/>
      <c r="B97" s="40" t="s">
        <v>15</v>
      </c>
      <c r="C97" s="267" t="s">
        <v>206</v>
      </c>
      <c r="D97" s="267"/>
      <c r="E97" s="119">
        <f>SUM(E98:E100)</f>
        <v>8.65</v>
      </c>
      <c r="F97" s="110">
        <f>SUM(F98:F100)</f>
        <v>361.58426870533322</v>
      </c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5.75" customHeight="1" x14ac:dyDescent="0.3">
      <c r="A98" s="2"/>
      <c r="B98" s="75" t="s">
        <v>106</v>
      </c>
      <c r="C98" s="302" t="s">
        <v>107</v>
      </c>
      <c r="D98" s="302"/>
      <c r="E98" s="121">
        <f>PERC_PIS</f>
        <v>0.65</v>
      </c>
      <c r="F98" s="122">
        <f>((MOD_1_REMUNERACAO_12X36+MOD_2_ENCARGOS_BENEFICIOS_12x36+MOD_3_PROVISAO_RESCISAO_12x36+MOD_4_CUSTO_REPOSICAO_12x36+MOD_5_INSUMOS_12x36+AL_6_A_CUSTOS_INDIRETOS_12x36+AL_6_B_LUCRO_12x36)*PERC_PIS%)/(1-PERC_TRIBUTOS%)</f>
        <v>27.17107221485163</v>
      </c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6.5" customHeight="1" x14ac:dyDescent="0.3">
      <c r="A99" s="2"/>
      <c r="B99" s="75" t="s">
        <v>108</v>
      </c>
      <c r="C99" s="303" t="s">
        <v>109</v>
      </c>
      <c r="D99" s="303"/>
      <c r="E99" s="123">
        <f>PERC_COFINS</f>
        <v>3</v>
      </c>
      <c r="F99" s="124">
        <f>((MOD_1_REMUNERACAO_12X36+MOD_2_ENCARGOS_BENEFICIOS_12x36+MOD_3_PROVISAO_RESCISAO_12x36+MOD_4_CUSTO_REPOSICAO_12x36+MOD_5_INSUMOS_12x36+AL_6_A_CUSTOS_INDIRETOS_12x36+AL_6_B_LUCRO_12x36)*PERC_COFINS%)/(1-PERC_TRIBUTOS%)</f>
        <v>125.4049486839306</v>
      </c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6.5" customHeight="1" x14ac:dyDescent="0.3">
      <c r="A100" s="70"/>
      <c r="B100" s="75" t="s">
        <v>110</v>
      </c>
      <c r="C100" s="302" t="s">
        <v>111</v>
      </c>
      <c r="D100" s="302"/>
      <c r="E100" s="121">
        <f>PERC_ISS</f>
        <v>5</v>
      </c>
      <c r="F100" s="122">
        <f>((MOD_1_REMUNERACAO_12X36+MOD_2_ENCARGOS_BENEFICIOS_12x36+MOD_3_PROVISAO_RESCISAO_12x36+MOD_4_CUSTO_REPOSICAO_12x36+MOD_5_INSUMOS_12x36+AL_6_A_CUSTOS_INDIRETOS_12x36+AL_6_B_LUCRO_12x36)*PERC_ISS%)/(1-PERC_TRIBUTOS%)</f>
        <v>209.008247806551</v>
      </c>
      <c r="G100" s="70"/>
      <c r="H100" s="70"/>
      <c r="I100" s="70"/>
      <c r="J100" s="70"/>
      <c r="K100" s="70"/>
      <c r="L100" s="70"/>
      <c r="M100" s="70"/>
      <c r="N100" s="70"/>
      <c r="O100" s="70"/>
      <c r="P100" s="70"/>
      <c r="Q100" s="70"/>
      <c r="R100" s="70"/>
      <c r="S100" s="70"/>
      <c r="T100" s="70"/>
      <c r="U100" s="70"/>
      <c r="V100" s="70"/>
      <c r="W100" s="70"/>
      <c r="X100" s="70"/>
      <c r="Y100" s="70"/>
      <c r="Z100" s="70"/>
    </row>
    <row r="101" spans="1:26" ht="16.5" customHeight="1" x14ac:dyDescent="0.3">
      <c r="A101" s="70"/>
      <c r="B101" s="272" t="s">
        <v>167</v>
      </c>
      <c r="C101" s="272"/>
      <c r="D101" s="272"/>
      <c r="E101" s="272"/>
      <c r="F101" s="125">
        <f>AL_6_A_CUSTOS_INDIRETOS_12x36+AL_6_B_LUCRO_12x36+AL_6_C_TRIBUTOS_12x36</f>
        <v>726.41933991366329</v>
      </c>
      <c r="G101" s="70"/>
      <c r="H101" s="70"/>
      <c r="I101" s="70"/>
      <c r="J101" s="70"/>
      <c r="K101" s="70"/>
      <c r="L101" s="70"/>
      <c r="M101" s="70"/>
      <c r="N101" s="70"/>
      <c r="O101" s="70"/>
      <c r="P101" s="70"/>
      <c r="Q101" s="70"/>
      <c r="R101" s="70"/>
      <c r="S101" s="70"/>
      <c r="T101" s="70"/>
      <c r="U101" s="70"/>
      <c r="V101" s="70"/>
      <c r="W101" s="70"/>
      <c r="X101" s="70"/>
      <c r="Y101" s="70"/>
      <c r="Z101" s="70"/>
    </row>
    <row r="102" spans="1:26" ht="16.5" customHeight="1" x14ac:dyDescent="0.3">
      <c r="A102" s="70"/>
      <c r="B102" s="126" t="s">
        <v>207</v>
      </c>
      <c r="C102" s="79"/>
      <c r="D102" s="79"/>
      <c r="E102" s="79"/>
      <c r="F102" s="127"/>
      <c r="G102" s="70"/>
      <c r="H102" s="70"/>
      <c r="I102" s="70"/>
      <c r="J102" s="70"/>
      <c r="K102" s="70"/>
      <c r="L102" s="70"/>
      <c r="M102" s="70"/>
      <c r="N102" s="70"/>
      <c r="O102" s="70"/>
      <c r="P102" s="70"/>
      <c r="Q102" s="70"/>
      <c r="R102" s="70"/>
      <c r="S102" s="70"/>
      <c r="T102" s="70"/>
      <c r="U102" s="70"/>
      <c r="V102" s="70"/>
      <c r="W102" s="70"/>
      <c r="X102" s="70"/>
      <c r="Y102" s="70"/>
      <c r="Z102" s="70"/>
    </row>
    <row r="103" spans="1:26" ht="16.5" customHeight="1" x14ac:dyDescent="0.3">
      <c r="A103" s="71"/>
      <c r="B103" s="40" t="s">
        <v>208</v>
      </c>
      <c r="C103" s="277" t="s">
        <v>209</v>
      </c>
      <c r="D103" s="277"/>
      <c r="E103" s="277"/>
      <c r="F103" s="40" t="s">
        <v>210</v>
      </c>
      <c r="G103" s="71"/>
      <c r="H103" s="71"/>
      <c r="I103" s="71"/>
      <c r="J103" s="71"/>
      <c r="K103" s="71"/>
      <c r="L103" s="71"/>
      <c r="M103" s="71"/>
      <c r="N103" s="71"/>
      <c r="O103" s="71"/>
      <c r="P103" s="71"/>
      <c r="Q103" s="71"/>
      <c r="R103" s="71"/>
      <c r="S103" s="71"/>
      <c r="T103" s="71"/>
      <c r="U103" s="71"/>
      <c r="V103" s="71"/>
      <c r="W103" s="71"/>
      <c r="X103" s="71"/>
      <c r="Y103" s="71"/>
      <c r="Z103" s="71"/>
    </row>
    <row r="104" spans="1:26" ht="16.5" customHeight="1" x14ac:dyDescent="0.3">
      <c r="A104" s="70"/>
      <c r="B104" s="5">
        <v>1</v>
      </c>
      <c r="C104" s="267" t="s">
        <v>47</v>
      </c>
      <c r="D104" s="267"/>
      <c r="E104" s="267"/>
      <c r="F104" s="110">
        <f>MOD_1_REMUNERACAO_12X36</f>
        <v>1601.55</v>
      </c>
      <c r="G104" s="70"/>
      <c r="H104" s="70"/>
      <c r="I104" s="70"/>
      <c r="J104" s="70"/>
      <c r="K104" s="70"/>
      <c r="L104" s="70"/>
      <c r="M104" s="70"/>
      <c r="N104" s="70"/>
      <c r="O104" s="70"/>
      <c r="P104" s="70"/>
      <c r="Q104" s="70"/>
      <c r="R104" s="70"/>
      <c r="S104" s="70"/>
      <c r="T104" s="70"/>
      <c r="U104" s="70"/>
      <c r="V104" s="70"/>
      <c r="W104" s="70"/>
      <c r="X104" s="70"/>
      <c r="Y104" s="70"/>
      <c r="Z104" s="70"/>
    </row>
    <row r="105" spans="1:26" ht="16.5" customHeight="1" x14ac:dyDescent="0.3">
      <c r="A105" s="128"/>
      <c r="B105" s="40">
        <v>2</v>
      </c>
      <c r="C105" s="266" t="s">
        <v>211</v>
      </c>
      <c r="D105" s="266"/>
      <c r="E105" s="266"/>
      <c r="F105" s="111">
        <f>MOD_2_ENCARGOS_BENEFICIOS_12x36</f>
        <v>1381.1295</v>
      </c>
      <c r="G105" s="128"/>
      <c r="H105" s="128"/>
      <c r="I105" s="128"/>
      <c r="J105" s="128"/>
      <c r="K105" s="128"/>
      <c r="L105" s="128"/>
      <c r="M105" s="128"/>
      <c r="N105" s="128"/>
      <c r="O105" s="128"/>
      <c r="P105" s="128"/>
      <c r="Q105" s="128"/>
      <c r="R105" s="128"/>
      <c r="S105" s="128"/>
      <c r="T105" s="128"/>
      <c r="U105" s="128"/>
      <c r="V105" s="128"/>
      <c r="W105" s="128"/>
      <c r="X105" s="128"/>
      <c r="Y105" s="128"/>
      <c r="Z105" s="128"/>
    </row>
    <row r="106" spans="1:26" ht="16.5" customHeight="1" x14ac:dyDescent="0.3">
      <c r="A106" s="128"/>
      <c r="B106" s="40">
        <v>3</v>
      </c>
      <c r="C106" s="267" t="s">
        <v>132</v>
      </c>
      <c r="D106" s="267"/>
      <c r="E106" s="267"/>
      <c r="F106" s="110">
        <f>MOD_3_PROVISAO_RESCISAO_12x36</f>
        <v>69.562964630844988</v>
      </c>
      <c r="G106" s="128"/>
      <c r="H106" s="128"/>
      <c r="I106" s="128"/>
      <c r="J106" s="128"/>
      <c r="K106" s="128"/>
      <c r="L106" s="128"/>
      <c r="M106" s="128"/>
      <c r="N106" s="128"/>
      <c r="O106" s="128"/>
      <c r="P106" s="128"/>
      <c r="Q106" s="128"/>
      <c r="R106" s="128"/>
      <c r="S106" s="128"/>
      <c r="T106" s="128"/>
      <c r="U106" s="128"/>
      <c r="V106" s="128"/>
      <c r="W106" s="128"/>
      <c r="X106" s="128"/>
      <c r="Y106" s="128"/>
      <c r="Z106" s="128"/>
    </row>
    <row r="107" spans="1:26" ht="16.5" customHeight="1" x14ac:dyDescent="0.3">
      <c r="A107" s="128"/>
      <c r="B107" s="40">
        <v>4</v>
      </c>
      <c r="C107" s="266" t="s">
        <v>212</v>
      </c>
      <c r="D107" s="266"/>
      <c r="E107" s="266"/>
      <c r="F107" s="111">
        <f>MOD_4_CUSTO_REPOSICAO_12x36</f>
        <v>316.60315158651133</v>
      </c>
      <c r="G107" s="128"/>
      <c r="H107" s="128"/>
      <c r="I107" s="128"/>
      <c r="J107" s="128"/>
      <c r="K107" s="128"/>
      <c r="L107" s="128"/>
      <c r="M107" s="128"/>
      <c r="N107" s="128"/>
      <c r="O107" s="128"/>
      <c r="P107" s="128"/>
      <c r="Q107" s="128"/>
      <c r="R107" s="128"/>
      <c r="S107" s="128"/>
      <c r="T107" s="128"/>
      <c r="U107" s="128"/>
      <c r="V107" s="128"/>
      <c r="W107" s="128"/>
      <c r="X107" s="128"/>
      <c r="Y107" s="128"/>
      <c r="Z107" s="128"/>
    </row>
    <row r="108" spans="1:26" ht="16.5" customHeight="1" x14ac:dyDescent="0.3">
      <c r="A108" s="128"/>
      <c r="B108" s="40">
        <v>5</v>
      </c>
      <c r="C108" s="267" t="s">
        <v>96</v>
      </c>
      <c r="D108" s="267"/>
      <c r="E108" s="267"/>
      <c r="F108" s="110">
        <f>MOD_5_INSUMOS_12x36</f>
        <v>84.899999999999991</v>
      </c>
      <c r="G108" s="128"/>
      <c r="H108" s="128"/>
      <c r="I108" s="128"/>
      <c r="J108" s="128"/>
      <c r="K108" s="128"/>
      <c r="L108" s="128"/>
      <c r="M108" s="128"/>
      <c r="N108" s="128"/>
      <c r="O108" s="128"/>
      <c r="P108" s="128"/>
      <c r="Q108" s="128"/>
      <c r="R108" s="128"/>
      <c r="S108" s="128"/>
      <c r="T108" s="128"/>
      <c r="U108" s="128"/>
      <c r="V108" s="128"/>
      <c r="W108" s="128"/>
      <c r="X108" s="128"/>
      <c r="Y108" s="128"/>
      <c r="Z108" s="128"/>
    </row>
    <row r="109" spans="1:26" ht="16.5" customHeight="1" x14ac:dyDescent="0.3">
      <c r="A109" s="128"/>
      <c r="B109" s="40">
        <v>6</v>
      </c>
      <c r="C109" s="266" t="s">
        <v>103</v>
      </c>
      <c r="D109" s="266"/>
      <c r="E109" s="266"/>
      <c r="F109" s="111">
        <f>MOD_6_CUSTOS_IND_LUCRO_TRIB_12x36</f>
        <v>726.41933991366329</v>
      </c>
      <c r="G109" s="128"/>
      <c r="H109" s="128"/>
      <c r="I109" s="128"/>
      <c r="J109" s="128"/>
      <c r="K109" s="128"/>
      <c r="L109" s="128"/>
      <c r="M109" s="128"/>
      <c r="N109" s="128"/>
      <c r="O109" s="128"/>
      <c r="P109" s="128"/>
      <c r="Q109" s="128"/>
      <c r="R109" s="128"/>
      <c r="S109" s="128"/>
      <c r="T109" s="128"/>
      <c r="U109" s="128"/>
      <c r="V109" s="128"/>
      <c r="W109" s="128"/>
      <c r="X109" s="128"/>
      <c r="Y109" s="128"/>
      <c r="Z109" s="128"/>
    </row>
    <row r="110" spans="1:26" ht="16.5" customHeight="1" x14ac:dyDescent="0.3">
      <c r="A110" s="2"/>
      <c r="B110" s="277" t="s">
        <v>213</v>
      </c>
      <c r="C110" s="277"/>
      <c r="D110" s="277"/>
      <c r="E110" s="277"/>
      <c r="F110" s="125">
        <f>SUM(F104:F109)</f>
        <v>4180.1649561310196</v>
      </c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6.5" customHeight="1" x14ac:dyDescent="0.3">
      <c r="A111" s="2"/>
      <c r="B111" s="277" t="s">
        <v>214</v>
      </c>
      <c r="C111" s="277"/>
      <c r="D111" s="277"/>
      <c r="E111" s="277"/>
      <c r="F111" s="125">
        <f>VALOR_TOTAL_EMPREGADO_12x36*EMPREG_POR_POSTO</f>
        <v>4180.1649561310196</v>
      </c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6.5" customHeight="1" x14ac:dyDescent="0.3">
      <c r="A112" s="2"/>
      <c r="B112" s="277" t="s">
        <v>215</v>
      </c>
      <c r="C112" s="277"/>
      <c r="D112" s="277"/>
      <c r="E112" s="277"/>
      <c r="F112" s="125">
        <f>VALOR_TOTAL_EMPREGADO_12x36*EMPREG_POR_POSTO*QTDE_POSTOS</f>
        <v>8360.3299122620392</v>
      </c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6.5" customHeight="1" x14ac:dyDescent="0.3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6.5" customHeight="1" x14ac:dyDescent="0.3">
      <c r="A114" s="2"/>
      <c r="B114" s="2" t="s">
        <v>190</v>
      </c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6.5" customHeight="1" x14ac:dyDescent="0.3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6.5" customHeight="1" x14ac:dyDescent="0.3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6.5" customHeight="1" x14ac:dyDescent="0.3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6.5" customHeight="1" x14ac:dyDescent="0.3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6.5" customHeight="1" x14ac:dyDescent="0.3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6.5" customHeight="1" x14ac:dyDescent="0.3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6.5" customHeight="1" x14ac:dyDescent="0.3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6.5" customHeight="1" x14ac:dyDescent="0.3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6.5" customHeight="1" x14ac:dyDescent="0.3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6.5" customHeight="1" x14ac:dyDescent="0.3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6.5" customHeight="1" x14ac:dyDescent="0.3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6.5" customHeight="1" x14ac:dyDescent="0.3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6.5" customHeight="1" x14ac:dyDescent="0.3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6.5" customHeight="1" x14ac:dyDescent="0.3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6.5" customHeight="1" x14ac:dyDescent="0.3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6.5" customHeight="1" x14ac:dyDescent="0.3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6.5" customHeight="1" x14ac:dyDescent="0.3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6.5" customHeight="1" x14ac:dyDescent="0.3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6.5" customHeight="1" x14ac:dyDescent="0.3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6.5" customHeight="1" x14ac:dyDescent="0.3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6.5" customHeight="1" x14ac:dyDescent="0.3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6.5" customHeight="1" x14ac:dyDescent="0.3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6.5" customHeight="1" x14ac:dyDescent="0.3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6.5" customHeight="1" x14ac:dyDescent="0.3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6.5" customHeight="1" x14ac:dyDescent="0.3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6.5" customHeight="1" x14ac:dyDescent="0.3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6.5" customHeight="1" x14ac:dyDescent="0.3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6.5" customHeight="1" x14ac:dyDescent="0.3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6.5" customHeight="1" x14ac:dyDescent="0.3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6.5" customHeight="1" x14ac:dyDescent="0.3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6.5" customHeight="1" x14ac:dyDescent="0.3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6.5" customHeight="1" x14ac:dyDescent="0.3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6.5" customHeight="1" x14ac:dyDescent="0.3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6.5" customHeight="1" x14ac:dyDescent="0.3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6.5" customHeight="1" x14ac:dyDescent="0.3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6.5" customHeight="1" x14ac:dyDescent="0.3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6.5" customHeight="1" x14ac:dyDescent="0.3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6.5" customHeight="1" x14ac:dyDescent="0.3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6.5" customHeight="1" x14ac:dyDescent="0.3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6.5" customHeight="1" x14ac:dyDescent="0.3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6.5" customHeight="1" x14ac:dyDescent="0.3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6.5" customHeight="1" x14ac:dyDescent="0.3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6.5" customHeight="1" x14ac:dyDescent="0.3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6.5" customHeight="1" x14ac:dyDescent="0.3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6.5" customHeight="1" x14ac:dyDescent="0.3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6.5" customHeight="1" x14ac:dyDescent="0.3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6.5" customHeight="1" x14ac:dyDescent="0.3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6.5" customHeight="1" x14ac:dyDescent="0.3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6.5" customHeight="1" x14ac:dyDescent="0.3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6.5" customHeight="1" x14ac:dyDescent="0.3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6.5" customHeight="1" x14ac:dyDescent="0.3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6.5" customHeight="1" x14ac:dyDescent="0.3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6.5" customHeight="1" x14ac:dyDescent="0.3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6.5" customHeight="1" x14ac:dyDescent="0.3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6.5" customHeight="1" x14ac:dyDescent="0.3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6.5" customHeight="1" x14ac:dyDescent="0.3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6.5" customHeight="1" x14ac:dyDescent="0.3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6.5" customHeight="1" x14ac:dyDescent="0.3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6.5" customHeight="1" x14ac:dyDescent="0.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6.5" customHeight="1" x14ac:dyDescent="0.3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6.5" customHeight="1" x14ac:dyDescent="0.3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6.5" customHeight="1" x14ac:dyDescent="0.3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6.5" customHeight="1" x14ac:dyDescent="0.3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6.5" customHeight="1" x14ac:dyDescent="0.3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6.5" customHeight="1" x14ac:dyDescent="0.3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6.5" customHeight="1" x14ac:dyDescent="0.3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6.5" customHeight="1" x14ac:dyDescent="0.3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6.5" customHeight="1" x14ac:dyDescent="0.3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6.5" customHeight="1" x14ac:dyDescent="0.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6.5" customHeight="1" x14ac:dyDescent="0.3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6.5" customHeight="1" x14ac:dyDescent="0.3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6.5" customHeight="1" x14ac:dyDescent="0.3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6.5" customHeight="1" x14ac:dyDescent="0.3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6.5" customHeight="1" x14ac:dyDescent="0.3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6.5" customHeight="1" x14ac:dyDescent="0.3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6.5" customHeight="1" x14ac:dyDescent="0.3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6.5" customHeight="1" x14ac:dyDescent="0.3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6.5" customHeight="1" x14ac:dyDescent="0.3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6.5" customHeight="1" x14ac:dyDescent="0.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6.5" customHeight="1" x14ac:dyDescent="0.3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6.5" customHeight="1" x14ac:dyDescent="0.3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6.5" customHeight="1" x14ac:dyDescent="0.3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6.5" customHeight="1" x14ac:dyDescent="0.3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6.5" customHeight="1" x14ac:dyDescent="0.3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6.5" customHeight="1" x14ac:dyDescent="0.3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6.5" customHeight="1" x14ac:dyDescent="0.3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6.5" customHeight="1" x14ac:dyDescent="0.3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6.5" customHeight="1" x14ac:dyDescent="0.3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6.5" customHeight="1" x14ac:dyDescent="0.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6.5" customHeight="1" x14ac:dyDescent="0.3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6.5" customHeight="1" x14ac:dyDescent="0.3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6.5" customHeight="1" x14ac:dyDescent="0.3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6.5" customHeight="1" x14ac:dyDescent="0.3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6.5" customHeight="1" x14ac:dyDescent="0.3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6.5" customHeight="1" x14ac:dyDescent="0.3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6.5" customHeight="1" x14ac:dyDescent="0.3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6.5" customHeight="1" x14ac:dyDescent="0.3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6.5" customHeight="1" x14ac:dyDescent="0.3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6.5" customHeight="1" x14ac:dyDescent="0.3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6.5" customHeight="1" x14ac:dyDescent="0.3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6.5" customHeight="1" x14ac:dyDescent="0.3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6.5" customHeight="1" x14ac:dyDescent="0.3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6.5" customHeight="1" x14ac:dyDescent="0.3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6.5" customHeight="1" x14ac:dyDescent="0.3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6.5" customHeight="1" x14ac:dyDescent="0.3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6.5" customHeight="1" x14ac:dyDescent="0.3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6.5" customHeight="1" x14ac:dyDescent="0.3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6.5" customHeight="1" x14ac:dyDescent="0.3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6.5" customHeight="1" x14ac:dyDescent="0.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6.5" customHeight="1" x14ac:dyDescent="0.3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6.5" customHeight="1" x14ac:dyDescent="0.3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6.5" customHeight="1" x14ac:dyDescent="0.3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6.5" customHeight="1" x14ac:dyDescent="0.3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6.5" customHeight="1" x14ac:dyDescent="0.3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6.5" customHeight="1" x14ac:dyDescent="0.3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6.5" customHeight="1" x14ac:dyDescent="0.3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6.5" customHeight="1" x14ac:dyDescent="0.3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6.5" customHeight="1" x14ac:dyDescent="0.3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6.5" customHeight="1" x14ac:dyDescent="0.3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6.5" customHeight="1" x14ac:dyDescent="0.3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6.5" customHeight="1" x14ac:dyDescent="0.3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6.5" customHeight="1" x14ac:dyDescent="0.3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6.5" customHeight="1" x14ac:dyDescent="0.3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6.5" customHeight="1" x14ac:dyDescent="0.3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6.5" customHeight="1" x14ac:dyDescent="0.3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6.5" customHeight="1" x14ac:dyDescent="0.3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6.5" customHeight="1" x14ac:dyDescent="0.3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6.5" customHeight="1" x14ac:dyDescent="0.3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6.5" customHeight="1" x14ac:dyDescent="0.3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6.5" customHeight="1" x14ac:dyDescent="0.3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6.5" customHeight="1" x14ac:dyDescent="0.3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6.5" customHeight="1" x14ac:dyDescent="0.3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6.5" customHeight="1" x14ac:dyDescent="0.3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6.5" customHeight="1" x14ac:dyDescent="0.3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6.5" customHeight="1" x14ac:dyDescent="0.3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6.5" customHeight="1" x14ac:dyDescent="0.3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6.5" customHeight="1" x14ac:dyDescent="0.3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6.5" customHeight="1" x14ac:dyDescent="0.3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6.5" customHeight="1" x14ac:dyDescent="0.3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6.5" customHeight="1" x14ac:dyDescent="0.3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6.5" customHeight="1" x14ac:dyDescent="0.3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6.5" customHeight="1" x14ac:dyDescent="0.3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6.5" customHeight="1" x14ac:dyDescent="0.3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6.5" customHeight="1" x14ac:dyDescent="0.3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6.5" customHeight="1" x14ac:dyDescent="0.3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6.5" customHeight="1" x14ac:dyDescent="0.3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6.5" customHeight="1" x14ac:dyDescent="0.3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6.5" customHeight="1" x14ac:dyDescent="0.3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6.5" customHeight="1" x14ac:dyDescent="0.3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6.5" customHeight="1" x14ac:dyDescent="0.3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6.5" customHeight="1" x14ac:dyDescent="0.3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6.5" customHeight="1" x14ac:dyDescent="0.3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6.5" customHeight="1" x14ac:dyDescent="0.3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6.5" customHeight="1" x14ac:dyDescent="0.3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6.5" customHeight="1" x14ac:dyDescent="0.3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6.5" customHeight="1" x14ac:dyDescent="0.3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6.5" customHeight="1" x14ac:dyDescent="0.3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6.5" customHeight="1" x14ac:dyDescent="0.3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6.5" customHeight="1" x14ac:dyDescent="0.3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6.5" customHeight="1" x14ac:dyDescent="0.3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6.5" customHeight="1" x14ac:dyDescent="0.3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6.5" customHeight="1" x14ac:dyDescent="0.3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6.5" customHeight="1" x14ac:dyDescent="0.3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6.5" customHeight="1" x14ac:dyDescent="0.3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6.5" customHeight="1" x14ac:dyDescent="0.3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6.5" customHeight="1" x14ac:dyDescent="0.3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6.5" customHeight="1" x14ac:dyDescent="0.3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6.5" customHeight="1" x14ac:dyDescent="0.3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6.5" customHeight="1" x14ac:dyDescent="0.3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6.5" customHeight="1" x14ac:dyDescent="0.3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6.5" customHeight="1" x14ac:dyDescent="0.3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6.5" customHeight="1" x14ac:dyDescent="0.3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6.5" customHeight="1" x14ac:dyDescent="0.3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6.5" customHeight="1" x14ac:dyDescent="0.3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6.5" customHeight="1" x14ac:dyDescent="0.3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6.5" customHeight="1" x14ac:dyDescent="0.3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6.5" customHeight="1" x14ac:dyDescent="0.3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6.5" customHeight="1" x14ac:dyDescent="0.3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6.5" customHeight="1" x14ac:dyDescent="0.3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6.5" customHeight="1" x14ac:dyDescent="0.3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6.5" customHeight="1" x14ac:dyDescent="0.3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6.5" customHeight="1" x14ac:dyDescent="0.3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6.5" customHeight="1" x14ac:dyDescent="0.3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6.5" customHeight="1" x14ac:dyDescent="0.3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6.5" customHeight="1" x14ac:dyDescent="0.3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6.5" customHeight="1" x14ac:dyDescent="0.3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6.5" customHeight="1" x14ac:dyDescent="0.3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6.5" customHeight="1" x14ac:dyDescent="0.3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6.5" customHeight="1" x14ac:dyDescent="0.3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6.5" customHeight="1" x14ac:dyDescent="0.3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6.5" customHeight="1" x14ac:dyDescent="0.3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6.5" customHeight="1" x14ac:dyDescent="0.3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6.5" customHeight="1" x14ac:dyDescent="0.3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6.5" customHeight="1" x14ac:dyDescent="0.3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6.5" customHeight="1" x14ac:dyDescent="0.3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6.5" customHeight="1" x14ac:dyDescent="0.3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6.5" customHeight="1" x14ac:dyDescent="0.3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6.5" customHeight="1" x14ac:dyDescent="0.3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6.5" customHeight="1" x14ac:dyDescent="0.3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6.5" customHeight="1" x14ac:dyDescent="0.3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6.5" customHeight="1" x14ac:dyDescent="0.3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6.5" customHeight="1" x14ac:dyDescent="0.3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6.5" customHeight="1" x14ac:dyDescent="0.3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6.5" customHeight="1" x14ac:dyDescent="0.3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6.5" customHeight="1" x14ac:dyDescent="0.3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6.5" customHeight="1" x14ac:dyDescent="0.3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6.5" customHeight="1" x14ac:dyDescent="0.3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6.5" customHeight="1" x14ac:dyDescent="0.3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6.5" customHeight="1" x14ac:dyDescent="0.3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6.5" customHeight="1" x14ac:dyDescent="0.3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6.5" customHeight="1" x14ac:dyDescent="0.3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6.5" customHeight="1" x14ac:dyDescent="0.3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6.5" customHeight="1" x14ac:dyDescent="0.3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6.5" customHeight="1" x14ac:dyDescent="0.3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6.5" customHeight="1" x14ac:dyDescent="0.3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6.5" customHeight="1" x14ac:dyDescent="0.3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6.5" customHeight="1" x14ac:dyDescent="0.3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6.5" customHeight="1" x14ac:dyDescent="0.3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6.5" customHeight="1" x14ac:dyDescent="0.3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6.5" customHeight="1" x14ac:dyDescent="0.3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6.5" customHeight="1" x14ac:dyDescent="0.3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6.5" customHeight="1" x14ac:dyDescent="0.3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6.5" customHeight="1" x14ac:dyDescent="0.3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6.5" customHeight="1" x14ac:dyDescent="0.3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6.5" customHeight="1" x14ac:dyDescent="0.3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6.5" customHeight="1" x14ac:dyDescent="0.3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6.5" customHeight="1" x14ac:dyDescent="0.3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6.5" customHeight="1" x14ac:dyDescent="0.3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6.5" customHeight="1" x14ac:dyDescent="0.3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6.5" customHeight="1" x14ac:dyDescent="0.3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6.5" customHeight="1" x14ac:dyDescent="0.3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6.5" customHeight="1" x14ac:dyDescent="0.3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6.5" customHeight="1" x14ac:dyDescent="0.3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6.5" customHeight="1" x14ac:dyDescent="0.3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6.5" customHeight="1" x14ac:dyDescent="0.3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6.5" customHeight="1" x14ac:dyDescent="0.3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6.5" customHeight="1" x14ac:dyDescent="0.3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6.5" customHeight="1" x14ac:dyDescent="0.3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6.5" customHeight="1" x14ac:dyDescent="0.3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6.5" customHeight="1" x14ac:dyDescent="0.3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6.5" customHeight="1" x14ac:dyDescent="0.3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6.5" customHeight="1" x14ac:dyDescent="0.3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6.5" customHeight="1" x14ac:dyDescent="0.3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6.5" customHeight="1" x14ac:dyDescent="0.3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6.5" customHeight="1" x14ac:dyDescent="0.3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6.5" customHeight="1" x14ac:dyDescent="0.3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6.5" customHeight="1" x14ac:dyDescent="0.3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6.5" customHeight="1" x14ac:dyDescent="0.3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6.5" customHeight="1" x14ac:dyDescent="0.3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6.5" customHeight="1" x14ac:dyDescent="0.3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6.5" customHeight="1" x14ac:dyDescent="0.3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6.5" customHeight="1" x14ac:dyDescent="0.3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6.5" customHeight="1" x14ac:dyDescent="0.3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6.5" customHeight="1" x14ac:dyDescent="0.3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6.5" customHeight="1" x14ac:dyDescent="0.3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6.5" customHeight="1" x14ac:dyDescent="0.3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6.5" customHeight="1" x14ac:dyDescent="0.3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6.5" customHeight="1" x14ac:dyDescent="0.3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6.5" customHeight="1" x14ac:dyDescent="0.3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6.5" customHeight="1" x14ac:dyDescent="0.3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6.5" customHeight="1" x14ac:dyDescent="0.3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6.5" customHeight="1" x14ac:dyDescent="0.3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6.5" customHeight="1" x14ac:dyDescent="0.3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6.5" customHeight="1" x14ac:dyDescent="0.3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6.5" customHeight="1" x14ac:dyDescent="0.3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6.5" customHeight="1" x14ac:dyDescent="0.3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6.5" customHeight="1" x14ac:dyDescent="0.3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6.5" customHeight="1" x14ac:dyDescent="0.3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6.5" customHeight="1" x14ac:dyDescent="0.3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6.5" customHeight="1" x14ac:dyDescent="0.3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6.5" customHeight="1" x14ac:dyDescent="0.3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6.5" customHeight="1" x14ac:dyDescent="0.3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6.5" customHeight="1" x14ac:dyDescent="0.3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6.5" customHeight="1" x14ac:dyDescent="0.3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6.5" customHeight="1" x14ac:dyDescent="0.3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6.5" customHeight="1" x14ac:dyDescent="0.3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6.5" customHeight="1" x14ac:dyDescent="0.3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6.5" customHeight="1" x14ac:dyDescent="0.3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6.5" customHeight="1" x14ac:dyDescent="0.3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6.5" customHeight="1" x14ac:dyDescent="0.3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6.5" customHeight="1" x14ac:dyDescent="0.3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6.5" customHeight="1" x14ac:dyDescent="0.3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6.5" customHeight="1" x14ac:dyDescent="0.3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6.5" customHeight="1" x14ac:dyDescent="0.3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6.5" customHeight="1" x14ac:dyDescent="0.3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6.5" customHeight="1" x14ac:dyDescent="0.3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6.5" customHeight="1" x14ac:dyDescent="0.3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6.5" customHeight="1" x14ac:dyDescent="0.3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6.5" customHeight="1" x14ac:dyDescent="0.3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6.5" customHeight="1" x14ac:dyDescent="0.3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6.5" customHeight="1" x14ac:dyDescent="0.3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6.5" customHeight="1" x14ac:dyDescent="0.3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6.5" customHeight="1" x14ac:dyDescent="0.3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6.5" customHeight="1" x14ac:dyDescent="0.3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6.5" customHeight="1" x14ac:dyDescent="0.3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6.5" customHeight="1" x14ac:dyDescent="0.3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6.5" customHeight="1" x14ac:dyDescent="0.3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6.5" customHeight="1" x14ac:dyDescent="0.3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6.5" customHeight="1" x14ac:dyDescent="0.3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6.5" customHeight="1" x14ac:dyDescent="0.3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6.5" customHeight="1" x14ac:dyDescent="0.3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6.5" customHeight="1" x14ac:dyDescent="0.3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6.5" customHeight="1" x14ac:dyDescent="0.3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6.5" customHeight="1" x14ac:dyDescent="0.3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6.5" customHeight="1" x14ac:dyDescent="0.3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6.5" customHeight="1" x14ac:dyDescent="0.3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6.5" customHeight="1" x14ac:dyDescent="0.3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6.5" customHeight="1" x14ac:dyDescent="0.3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6.5" customHeight="1" x14ac:dyDescent="0.3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6.5" customHeight="1" x14ac:dyDescent="0.3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6.5" customHeight="1" x14ac:dyDescent="0.3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6.5" customHeight="1" x14ac:dyDescent="0.3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6.5" customHeight="1" x14ac:dyDescent="0.3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6.5" customHeight="1" x14ac:dyDescent="0.3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6.5" customHeight="1" x14ac:dyDescent="0.3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6.5" customHeight="1" x14ac:dyDescent="0.3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6.5" customHeight="1" x14ac:dyDescent="0.3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6.5" customHeight="1" x14ac:dyDescent="0.3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6.5" customHeight="1" x14ac:dyDescent="0.3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6.5" customHeight="1" x14ac:dyDescent="0.3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6.5" customHeight="1" x14ac:dyDescent="0.3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6.5" customHeight="1" x14ac:dyDescent="0.3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6.5" customHeight="1" x14ac:dyDescent="0.3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6.5" customHeight="1" x14ac:dyDescent="0.3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6.5" customHeight="1" x14ac:dyDescent="0.3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6.5" customHeight="1" x14ac:dyDescent="0.3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6.5" customHeight="1" x14ac:dyDescent="0.3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6.5" customHeight="1" x14ac:dyDescent="0.3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6.5" customHeight="1" x14ac:dyDescent="0.3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6.5" customHeight="1" x14ac:dyDescent="0.3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6.5" customHeight="1" x14ac:dyDescent="0.3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6.5" customHeight="1" x14ac:dyDescent="0.3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6.5" customHeight="1" x14ac:dyDescent="0.3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6.5" customHeight="1" x14ac:dyDescent="0.3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6.5" customHeight="1" x14ac:dyDescent="0.3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6.5" customHeight="1" x14ac:dyDescent="0.3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6.5" customHeight="1" x14ac:dyDescent="0.3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6.5" customHeight="1" x14ac:dyDescent="0.3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6.5" customHeight="1" x14ac:dyDescent="0.3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6.5" customHeight="1" x14ac:dyDescent="0.3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6.5" customHeight="1" x14ac:dyDescent="0.3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6.5" customHeight="1" x14ac:dyDescent="0.3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6.5" customHeight="1" x14ac:dyDescent="0.3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6.5" customHeight="1" x14ac:dyDescent="0.3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6.5" customHeight="1" x14ac:dyDescent="0.3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6.5" customHeight="1" x14ac:dyDescent="0.3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6.5" customHeight="1" x14ac:dyDescent="0.3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6.5" customHeight="1" x14ac:dyDescent="0.3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6.5" customHeight="1" x14ac:dyDescent="0.3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6.5" customHeight="1" x14ac:dyDescent="0.3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6.5" customHeight="1" x14ac:dyDescent="0.3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6.5" customHeight="1" x14ac:dyDescent="0.3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6.5" customHeight="1" x14ac:dyDescent="0.3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6.5" customHeight="1" x14ac:dyDescent="0.3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6.5" customHeight="1" x14ac:dyDescent="0.3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6.5" customHeight="1" x14ac:dyDescent="0.3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6.5" customHeight="1" x14ac:dyDescent="0.3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6.5" customHeight="1" x14ac:dyDescent="0.3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6.5" customHeight="1" x14ac:dyDescent="0.3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6.5" customHeight="1" x14ac:dyDescent="0.3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6.5" customHeight="1" x14ac:dyDescent="0.3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6.5" customHeight="1" x14ac:dyDescent="0.3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6.5" customHeight="1" x14ac:dyDescent="0.3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6.5" customHeight="1" x14ac:dyDescent="0.3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6.5" customHeight="1" x14ac:dyDescent="0.3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6.5" customHeight="1" x14ac:dyDescent="0.3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6.5" customHeight="1" x14ac:dyDescent="0.3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6.5" customHeight="1" x14ac:dyDescent="0.3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6.5" customHeight="1" x14ac:dyDescent="0.3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6.5" customHeight="1" x14ac:dyDescent="0.3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6.5" customHeight="1" x14ac:dyDescent="0.3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6.5" customHeight="1" x14ac:dyDescent="0.3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6.5" customHeight="1" x14ac:dyDescent="0.3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6.5" customHeight="1" x14ac:dyDescent="0.3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6.5" customHeight="1" x14ac:dyDescent="0.3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6.5" customHeight="1" x14ac:dyDescent="0.3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6.5" customHeight="1" x14ac:dyDescent="0.3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6.5" customHeight="1" x14ac:dyDescent="0.3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6.5" customHeight="1" x14ac:dyDescent="0.3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6.5" customHeight="1" x14ac:dyDescent="0.3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6.5" customHeight="1" x14ac:dyDescent="0.3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6.5" customHeight="1" x14ac:dyDescent="0.3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6.5" customHeight="1" x14ac:dyDescent="0.3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6.5" customHeight="1" x14ac:dyDescent="0.3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6.5" customHeight="1" x14ac:dyDescent="0.3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6.5" customHeight="1" x14ac:dyDescent="0.3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6.5" customHeight="1" x14ac:dyDescent="0.3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6.5" customHeight="1" x14ac:dyDescent="0.3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6.5" customHeight="1" x14ac:dyDescent="0.3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6.5" customHeight="1" x14ac:dyDescent="0.3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6.5" customHeight="1" x14ac:dyDescent="0.3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6.5" customHeight="1" x14ac:dyDescent="0.3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6.5" customHeight="1" x14ac:dyDescent="0.3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6.5" customHeight="1" x14ac:dyDescent="0.3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6.5" customHeight="1" x14ac:dyDescent="0.3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6.5" customHeight="1" x14ac:dyDescent="0.3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6.5" customHeight="1" x14ac:dyDescent="0.3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6.5" customHeight="1" x14ac:dyDescent="0.3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6.5" customHeight="1" x14ac:dyDescent="0.3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6.5" customHeight="1" x14ac:dyDescent="0.3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6.5" customHeight="1" x14ac:dyDescent="0.3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6.5" customHeight="1" x14ac:dyDescent="0.3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6.5" customHeight="1" x14ac:dyDescent="0.3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6.5" customHeight="1" x14ac:dyDescent="0.3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6.5" customHeight="1" x14ac:dyDescent="0.3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6.5" customHeight="1" x14ac:dyDescent="0.3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6.5" customHeight="1" x14ac:dyDescent="0.3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6.5" customHeight="1" x14ac:dyDescent="0.3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6.5" customHeight="1" x14ac:dyDescent="0.3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6.5" customHeight="1" x14ac:dyDescent="0.3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6.5" customHeight="1" x14ac:dyDescent="0.3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6.5" customHeight="1" x14ac:dyDescent="0.3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6.5" customHeight="1" x14ac:dyDescent="0.3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6.5" customHeight="1" x14ac:dyDescent="0.3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6.5" customHeight="1" x14ac:dyDescent="0.3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6.5" customHeight="1" x14ac:dyDescent="0.3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6.5" customHeight="1" x14ac:dyDescent="0.3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6.5" customHeight="1" x14ac:dyDescent="0.3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6.5" customHeight="1" x14ac:dyDescent="0.3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6.5" customHeight="1" x14ac:dyDescent="0.3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6.5" customHeight="1" x14ac:dyDescent="0.3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6.5" customHeight="1" x14ac:dyDescent="0.3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6.5" customHeight="1" x14ac:dyDescent="0.3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6.5" customHeight="1" x14ac:dyDescent="0.3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6.5" customHeight="1" x14ac:dyDescent="0.3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6.5" customHeight="1" x14ac:dyDescent="0.3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6.5" customHeight="1" x14ac:dyDescent="0.3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6.5" customHeight="1" x14ac:dyDescent="0.3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6.5" customHeight="1" x14ac:dyDescent="0.3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6.5" customHeight="1" x14ac:dyDescent="0.3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6.5" customHeight="1" x14ac:dyDescent="0.3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6.5" customHeight="1" x14ac:dyDescent="0.3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6.5" customHeight="1" x14ac:dyDescent="0.3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6.5" customHeight="1" x14ac:dyDescent="0.3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6.5" customHeight="1" x14ac:dyDescent="0.3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6.5" customHeight="1" x14ac:dyDescent="0.3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6.5" customHeight="1" x14ac:dyDescent="0.3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6.5" customHeight="1" x14ac:dyDescent="0.3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6.5" customHeight="1" x14ac:dyDescent="0.3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6.5" customHeight="1" x14ac:dyDescent="0.3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6.5" customHeight="1" x14ac:dyDescent="0.3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6.5" customHeight="1" x14ac:dyDescent="0.3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6.5" customHeight="1" x14ac:dyDescent="0.3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6.5" customHeight="1" x14ac:dyDescent="0.3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6.5" customHeight="1" x14ac:dyDescent="0.3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6.5" customHeight="1" x14ac:dyDescent="0.3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6.5" customHeight="1" x14ac:dyDescent="0.3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6.5" customHeight="1" x14ac:dyDescent="0.3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6.5" customHeight="1" x14ac:dyDescent="0.3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6.5" customHeight="1" x14ac:dyDescent="0.3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6.5" customHeight="1" x14ac:dyDescent="0.3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6.5" customHeight="1" x14ac:dyDescent="0.3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6.5" customHeight="1" x14ac:dyDescent="0.3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6.5" customHeight="1" x14ac:dyDescent="0.3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6.5" customHeight="1" x14ac:dyDescent="0.3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6.5" customHeight="1" x14ac:dyDescent="0.3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6.5" customHeight="1" x14ac:dyDescent="0.3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6.5" customHeight="1" x14ac:dyDescent="0.3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6.5" customHeight="1" x14ac:dyDescent="0.3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6.5" customHeight="1" x14ac:dyDescent="0.3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6.5" customHeight="1" x14ac:dyDescent="0.3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6.5" customHeight="1" x14ac:dyDescent="0.3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6.5" customHeight="1" x14ac:dyDescent="0.3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6.5" customHeight="1" x14ac:dyDescent="0.3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6.5" customHeight="1" x14ac:dyDescent="0.3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6.5" customHeight="1" x14ac:dyDescent="0.3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6.5" customHeight="1" x14ac:dyDescent="0.3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6.5" customHeight="1" x14ac:dyDescent="0.3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6.5" customHeight="1" x14ac:dyDescent="0.3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6.5" customHeight="1" x14ac:dyDescent="0.3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6.5" customHeight="1" x14ac:dyDescent="0.3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6.5" customHeight="1" x14ac:dyDescent="0.3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6.5" customHeight="1" x14ac:dyDescent="0.3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6.5" customHeight="1" x14ac:dyDescent="0.3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6.5" customHeight="1" x14ac:dyDescent="0.3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6.5" customHeight="1" x14ac:dyDescent="0.3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6.5" customHeight="1" x14ac:dyDescent="0.3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6.5" customHeight="1" x14ac:dyDescent="0.3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6.5" customHeight="1" x14ac:dyDescent="0.3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6.5" customHeight="1" x14ac:dyDescent="0.3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6.5" customHeight="1" x14ac:dyDescent="0.3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6.5" customHeight="1" x14ac:dyDescent="0.3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6.5" customHeight="1" x14ac:dyDescent="0.3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6.5" customHeight="1" x14ac:dyDescent="0.3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6.5" customHeight="1" x14ac:dyDescent="0.3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6.5" customHeight="1" x14ac:dyDescent="0.3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6.5" customHeight="1" x14ac:dyDescent="0.3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6.5" customHeight="1" x14ac:dyDescent="0.3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6.5" customHeight="1" x14ac:dyDescent="0.3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6.5" customHeight="1" x14ac:dyDescent="0.3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6.5" customHeight="1" x14ac:dyDescent="0.3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6.5" customHeight="1" x14ac:dyDescent="0.3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6.5" customHeight="1" x14ac:dyDescent="0.3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6.5" customHeight="1" x14ac:dyDescent="0.3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6.5" customHeight="1" x14ac:dyDescent="0.3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6.5" customHeight="1" x14ac:dyDescent="0.3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6.5" customHeight="1" x14ac:dyDescent="0.3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6.5" customHeight="1" x14ac:dyDescent="0.3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6.5" customHeight="1" x14ac:dyDescent="0.3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6.5" customHeight="1" x14ac:dyDescent="0.3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6.5" customHeight="1" x14ac:dyDescent="0.3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6.5" customHeight="1" x14ac:dyDescent="0.3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6.5" customHeight="1" x14ac:dyDescent="0.3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6.5" customHeight="1" x14ac:dyDescent="0.3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6.5" customHeight="1" x14ac:dyDescent="0.3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6.5" customHeight="1" x14ac:dyDescent="0.3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6.5" customHeight="1" x14ac:dyDescent="0.3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6.5" customHeight="1" x14ac:dyDescent="0.3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6.5" customHeight="1" x14ac:dyDescent="0.3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6.5" customHeight="1" x14ac:dyDescent="0.3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6.5" customHeight="1" x14ac:dyDescent="0.3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6.5" customHeight="1" x14ac:dyDescent="0.3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6.5" customHeight="1" x14ac:dyDescent="0.3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6.5" customHeight="1" x14ac:dyDescent="0.3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6.5" customHeight="1" x14ac:dyDescent="0.3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6.5" customHeight="1" x14ac:dyDescent="0.3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6.5" customHeight="1" x14ac:dyDescent="0.3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6.5" customHeight="1" x14ac:dyDescent="0.3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6.5" customHeight="1" x14ac:dyDescent="0.3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6.5" customHeight="1" x14ac:dyDescent="0.3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6.5" customHeight="1" x14ac:dyDescent="0.3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6.5" customHeight="1" x14ac:dyDescent="0.3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6.5" customHeight="1" x14ac:dyDescent="0.3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6.5" customHeight="1" x14ac:dyDescent="0.3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6.5" customHeight="1" x14ac:dyDescent="0.3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6.5" customHeight="1" x14ac:dyDescent="0.3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6.5" customHeight="1" x14ac:dyDescent="0.3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6.5" customHeight="1" x14ac:dyDescent="0.3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6.5" customHeight="1" x14ac:dyDescent="0.3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6.5" customHeight="1" x14ac:dyDescent="0.3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6.5" customHeight="1" x14ac:dyDescent="0.3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6.5" customHeight="1" x14ac:dyDescent="0.3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6.5" customHeight="1" x14ac:dyDescent="0.3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6.5" customHeight="1" x14ac:dyDescent="0.3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6.5" customHeight="1" x14ac:dyDescent="0.3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6.5" customHeight="1" x14ac:dyDescent="0.3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6.5" customHeight="1" x14ac:dyDescent="0.3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6.5" customHeight="1" x14ac:dyDescent="0.3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6.5" customHeight="1" x14ac:dyDescent="0.3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6.5" customHeight="1" x14ac:dyDescent="0.3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6.5" customHeight="1" x14ac:dyDescent="0.3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6.5" customHeight="1" x14ac:dyDescent="0.3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6.5" customHeight="1" x14ac:dyDescent="0.3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6.5" customHeight="1" x14ac:dyDescent="0.3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6.5" customHeight="1" x14ac:dyDescent="0.3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6.5" customHeight="1" x14ac:dyDescent="0.3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6.5" customHeight="1" x14ac:dyDescent="0.3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6.5" customHeight="1" x14ac:dyDescent="0.3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6.5" customHeight="1" x14ac:dyDescent="0.3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6.5" customHeight="1" x14ac:dyDescent="0.3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6.5" customHeight="1" x14ac:dyDescent="0.3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6.5" customHeight="1" x14ac:dyDescent="0.3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6.5" customHeight="1" x14ac:dyDescent="0.3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6.5" customHeight="1" x14ac:dyDescent="0.3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6.5" customHeight="1" x14ac:dyDescent="0.3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6.5" customHeight="1" x14ac:dyDescent="0.3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6.5" customHeight="1" x14ac:dyDescent="0.3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6.5" customHeight="1" x14ac:dyDescent="0.3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6.5" customHeight="1" x14ac:dyDescent="0.3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6.5" customHeight="1" x14ac:dyDescent="0.3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6.5" customHeight="1" x14ac:dyDescent="0.3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6.5" customHeight="1" x14ac:dyDescent="0.3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6.5" customHeight="1" x14ac:dyDescent="0.3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6.5" customHeight="1" x14ac:dyDescent="0.3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6.5" customHeight="1" x14ac:dyDescent="0.3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6.5" customHeight="1" x14ac:dyDescent="0.3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6.5" customHeight="1" x14ac:dyDescent="0.3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6.5" customHeight="1" x14ac:dyDescent="0.3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6.5" customHeight="1" x14ac:dyDescent="0.3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6.5" customHeight="1" x14ac:dyDescent="0.3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6.5" customHeight="1" x14ac:dyDescent="0.3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6.5" customHeight="1" x14ac:dyDescent="0.3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6.5" customHeight="1" x14ac:dyDescent="0.3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6.5" customHeight="1" x14ac:dyDescent="0.3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6.5" customHeight="1" x14ac:dyDescent="0.3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6.5" customHeight="1" x14ac:dyDescent="0.3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6.5" customHeight="1" x14ac:dyDescent="0.3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6.5" customHeight="1" x14ac:dyDescent="0.3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6.5" customHeight="1" x14ac:dyDescent="0.3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6.5" customHeight="1" x14ac:dyDescent="0.3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6.5" customHeight="1" x14ac:dyDescent="0.3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6.5" customHeight="1" x14ac:dyDescent="0.3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6.5" customHeight="1" x14ac:dyDescent="0.3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6.5" customHeight="1" x14ac:dyDescent="0.3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6.5" customHeight="1" x14ac:dyDescent="0.3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6.5" customHeight="1" x14ac:dyDescent="0.3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6.5" customHeight="1" x14ac:dyDescent="0.3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6.5" customHeight="1" x14ac:dyDescent="0.3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6.5" customHeight="1" x14ac:dyDescent="0.3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6.5" customHeight="1" x14ac:dyDescent="0.3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6.5" customHeight="1" x14ac:dyDescent="0.3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6.5" customHeight="1" x14ac:dyDescent="0.3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6.5" customHeight="1" x14ac:dyDescent="0.3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6.5" customHeight="1" x14ac:dyDescent="0.3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6.5" customHeight="1" x14ac:dyDescent="0.3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6.5" customHeight="1" x14ac:dyDescent="0.3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6.5" customHeight="1" x14ac:dyDescent="0.3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6.5" customHeight="1" x14ac:dyDescent="0.3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6.5" customHeight="1" x14ac:dyDescent="0.3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6.5" customHeight="1" x14ac:dyDescent="0.3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6.5" customHeight="1" x14ac:dyDescent="0.3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6.5" customHeight="1" x14ac:dyDescent="0.3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6.5" customHeight="1" x14ac:dyDescent="0.3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6.5" customHeight="1" x14ac:dyDescent="0.3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6.5" customHeight="1" x14ac:dyDescent="0.3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6.5" customHeight="1" x14ac:dyDescent="0.3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6.5" customHeight="1" x14ac:dyDescent="0.3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6.5" customHeight="1" x14ac:dyDescent="0.3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6.5" customHeight="1" x14ac:dyDescent="0.3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6.5" customHeight="1" x14ac:dyDescent="0.3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6.5" customHeight="1" x14ac:dyDescent="0.3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6.5" customHeight="1" x14ac:dyDescent="0.3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6.5" customHeight="1" x14ac:dyDescent="0.3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6.5" customHeight="1" x14ac:dyDescent="0.3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6.5" customHeight="1" x14ac:dyDescent="0.3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6.5" customHeight="1" x14ac:dyDescent="0.3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6.5" customHeight="1" x14ac:dyDescent="0.3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6.5" customHeight="1" x14ac:dyDescent="0.3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6.5" customHeight="1" x14ac:dyDescent="0.3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6.5" customHeight="1" x14ac:dyDescent="0.3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6.5" customHeight="1" x14ac:dyDescent="0.3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6.5" customHeight="1" x14ac:dyDescent="0.3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6.5" customHeight="1" x14ac:dyDescent="0.3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6.5" customHeight="1" x14ac:dyDescent="0.3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6.5" customHeight="1" x14ac:dyDescent="0.3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6.5" customHeight="1" x14ac:dyDescent="0.3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6.5" customHeight="1" x14ac:dyDescent="0.3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6.5" customHeight="1" x14ac:dyDescent="0.3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6.5" customHeight="1" x14ac:dyDescent="0.3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6.5" customHeight="1" x14ac:dyDescent="0.3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6.5" customHeight="1" x14ac:dyDescent="0.3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6.5" customHeight="1" x14ac:dyDescent="0.3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6.5" customHeight="1" x14ac:dyDescent="0.3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6.5" customHeight="1" x14ac:dyDescent="0.3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6.5" customHeight="1" x14ac:dyDescent="0.3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6.5" customHeight="1" x14ac:dyDescent="0.3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6.5" customHeight="1" x14ac:dyDescent="0.3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6.5" customHeight="1" x14ac:dyDescent="0.3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6.5" customHeight="1" x14ac:dyDescent="0.3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6.5" customHeight="1" x14ac:dyDescent="0.3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6.5" customHeight="1" x14ac:dyDescent="0.3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6.5" customHeight="1" x14ac:dyDescent="0.3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6.5" customHeight="1" x14ac:dyDescent="0.3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6.5" customHeight="1" x14ac:dyDescent="0.3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6.5" customHeight="1" x14ac:dyDescent="0.3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6.5" customHeight="1" x14ac:dyDescent="0.3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6.5" customHeight="1" x14ac:dyDescent="0.3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6.5" customHeight="1" x14ac:dyDescent="0.3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6.5" customHeight="1" x14ac:dyDescent="0.3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6.5" customHeight="1" x14ac:dyDescent="0.3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6.5" customHeight="1" x14ac:dyDescent="0.3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6.5" customHeight="1" x14ac:dyDescent="0.3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6.5" customHeight="1" x14ac:dyDescent="0.3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6.5" customHeight="1" x14ac:dyDescent="0.3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6.5" customHeight="1" x14ac:dyDescent="0.3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6.5" customHeight="1" x14ac:dyDescent="0.3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6.5" customHeight="1" x14ac:dyDescent="0.3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6.5" customHeight="1" x14ac:dyDescent="0.3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6.5" customHeight="1" x14ac:dyDescent="0.3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6.5" customHeight="1" x14ac:dyDescent="0.3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6.5" customHeight="1" x14ac:dyDescent="0.3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6.5" customHeight="1" x14ac:dyDescent="0.3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6.5" customHeight="1" x14ac:dyDescent="0.3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6.5" customHeight="1" x14ac:dyDescent="0.3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6.5" customHeight="1" x14ac:dyDescent="0.3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6.5" customHeight="1" x14ac:dyDescent="0.3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6.5" customHeight="1" x14ac:dyDescent="0.3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6.5" customHeight="1" x14ac:dyDescent="0.3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6.5" customHeight="1" x14ac:dyDescent="0.3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6.5" customHeight="1" x14ac:dyDescent="0.3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6.5" customHeight="1" x14ac:dyDescent="0.3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6.5" customHeight="1" x14ac:dyDescent="0.3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6.5" customHeight="1" x14ac:dyDescent="0.3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6.5" customHeight="1" x14ac:dyDescent="0.3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6.5" customHeight="1" x14ac:dyDescent="0.3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6.5" customHeight="1" x14ac:dyDescent="0.3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6.5" customHeight="1" x14ac:dyDescent="0.3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6.5" customHeight="1" x14ac:dyDescent="0.3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6.5" customHeight="1" x14ac:dyDescent="0.3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6.5" customHeight="1" x14ac:dyDescent="0.3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6.5" customHeight="1" x14ac:dyDescent="0.3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6.5" customHeight="1" x14ac:dyDescent="0.3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6.5" customHeight="1" x14ac:dyDescent="0.3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6.5" customHeight="1" x14ac:dyDescent="0.3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6.5" customHeight="1" x14ac:dyDescent="0.3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6.5" customHeight="1" x14ac:dyDescent="0.3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6.5" customHeight="1" x14ac:dyDescent="0.3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6.5" customHeight="1" x14ac:dyDescent="0.3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6.5" customHeight="1" x14ac:dyDescent="0.3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6.5" customHeight="1" x14ac:dyDescent="0.3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6.5" customHeight="1" x14ac:dyDescent="0.3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6.5" customHeight="1" x14ac:dyDescent="0.3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6.5" customHeight="1" x14ac:dyDescent="0.3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6.5" customHeight="1" x14ac:dyDescent="0.3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6.5" customHeight="1" x14ac:dyDescent="0.3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6.5" customHeight="1" x14ac:dyDescent="0.3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6.5" customHeight="1" x14ac:dyDescent="0.3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6.5" customHeight="1" x14ac:dyDescent="0.3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6.5" customHeight="1" x14ac:dyDescent="0.3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6.5" customHeight="1" x14ac:dyDescent="0.3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6.5" customHeight="1" x14ac:dyDescent="0.3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6.5" customHeight="1" x14ac:dyDescent="0.3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6.5" customHeight="1" x14ac:dyDescent="0.3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6.5" customHeight="1" x14ac:dyDescent="0.3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6.5" customHeight="1" x14ac:dyDescent="0.3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6.5" customHeight="1" x14ac:dyDescent="0.3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6.5" customHeight="1" x14ac:dyDescent="0.3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6.5" customHeight="1" x14ac:dyDescent="0.3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6.5" customHeight="1" x14ac:dyDescent="0.3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6.5" customHeight="1" x14ac:dyDescent="0.3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6.5" customHeight="1" x14ac:dyDescent="0.3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6.5" customHeight="1" x14ac:dyDescent="0.3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6.5" customHeight="1" x14ac:dyDescent="0.3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6.5" customHeight="1" x14ac:dyDescent="0.3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6.5" customHeight="1" x14ac:dyDescent="0.3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6.5" customHeight="1" x14ac:dyDescent="0.3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6.5" customHeight="1" x14ac:dyDescent="0.3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6.5" customHeight="1" x14ac:dyDescent="0.3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6.5" customHeight="1" x14ac:dyDescent="0.3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6.5" customHeight="1" x14ac:dyDescent="0.3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6.5" customHeight="1" x14ac:dyDescent="0.3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6.5" customHeight="1" x14ac:dyDescent="0.3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6.5" customHeight="1" x14ac:dyDescent="0.3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6.5" customHeight="1" x14ac:dyDescent="0.3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6.5" customHeight="1" x14ac:dyDescent="0.3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6.5" customHeight="1" x14ac:dyDescent="0.3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6.5" customHeight="1" x14ac:dyDescent="0.3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6.5" customHeight="1" x14ac:dyDescent="0.3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6.5" customHeight="1" x14ac:dyDescent="0.3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6.5" customHeight="1" x14ac:dyDescent="0.3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6.5" customHeight="1" x14ac:dyDescent="0.3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6.5" customHeight="1" x14ac:dyDescent="0.3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6.5" customHeight="1" x14ac:dyDescent="0.3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6.5" customHeight="1" x14ac:dyDescent="0.3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6.5" customHeight="1" x14ac:dyDescent="0.3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6.5" customHeight="1" x14ac:dyDescent="0.3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6.5" customHeight="1" x14ac:dyDescent="0.3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6.5" customHeight="1" x14ac:dyDescent="0.3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6.5" customHeight="1" x14ac:dyDescent="0.3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6.5" customHeight="1" x14ac:dyDescent="0.3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6.5" customHeight="1" x14ac:dyDescent="0.3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6.5" customHeight="1" x14ac:dyDescent="0.3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6.5" customHeight="1" x14ac:dyDescent="0.3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6.5" customHeight="1" x14ac:dyDescent="0.3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6.5" customHeight="1" x14ac:dyDescent="0.3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6.5" customHeight="1" x14ac:dyDescent="0.3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6.5" customHeight="1" x14ac:dyDescent="0.3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6.5" customHeight="1" x14ac:dyDescent="0.3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6.5" customHeight="1" x14ac:dyDescent="0.3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6.5" customHeight="1" x14ac:dyDescent="0.3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6.5" customHeight="1" x14ac:dyDescent="0.3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6.5" customHeight="1" x14ac:dyDescent="0.3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6.5" customHeight="1" x14ac:dyDescent="0.3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6.5" customHeight="1" x14ac:dyDescent="0.3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6.5" customHeight="1" x14ac:dyDescent="0.3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6.5" customHeight="1" x14ac:dyDescent="0.3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6.5" customHeight="1" x14ac:dyDescent="0.3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6.5" customHeight="1" x14ac:dyDescent="0.3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6.5" customHeight="1" x14ac:dyDescent="0.3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6.5" customHeight="1" x14ac:dyDescent="0.3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6.5" customHeight="1" x14ac:dyDescent="0.3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6.5" customHeight="1" x14ac:dyDescent="0.3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6.5" customHeight="1" x14ac:dyDescent="0.3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6.5" customHeight="1" x14ac:dyDescent="0.3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6.5" customHeight="1" x14ac:dyDescent="0.3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6.5" customHeight="1" x14ac:dyDescent="0.3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6.5" customHeight="1" x14ac:dyDescent="0.3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6.5" customHeight="1" x14ac:dyDescent="0.3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6.5" customHeight="1" x14ac:dyDescent="0.3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6.5" customHeight="1" x14ac:dyDescent="0.3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6.5" customHeight="1" x14ac:dyDescent="0.3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6.5" customHeight="1" x14ac:dyDescent="0.3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6.5" customHeight="1" x14ac:dyDescent="0.3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6.5" customHeight="1" x14ac:dyDescent="0.3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6.5" customHeight="1" x14ac:dyDescent="0.3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6.5" customHeight="1" x14ac:dyDescent="0.3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6.5" customHeight="1" x14ac:dyDescent="0.3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6.5" customHeight="1" x14ac:dyDescent="0.3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6.5" customHeight="1" x14ac:dyDescent="0.3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6.5" customHeight="1" x14ac:dyDescent="0.3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6.5" customHeight="1" x14ac:dyDescent="0.3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6.5" customHeight="1" x14ac:dyDescent="0.3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6.5" customHeight="1" x14ac:dyDescent="0.3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6.5" customHeight="1" x14ac:dyDescent="0.3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6.5" customHeight="1" x14ac:dyDescent="0.3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6.5" customHeight="1" x14ac:dyDescent="0.3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6.5" customHeight="1" x14ac:dyDescent="0.3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6.5" customHeight="1" x14ac:dyDescent="0.3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6.5" customHeight="1" x14ac:dyDescent="0.3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6.5" customHeight="1" x14ac:dyDescent="0.3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6.5" customHeight="1" x14ac:dyDescent="0.3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6.5" customHeight="1" x14ac:dyDescent="0.3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6.5" customHeight="1" x14ac:dyDescent="0.3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6.5" customHeight="1" x14ac:dyDescent="0.3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6.5" customHeight="1" x14ac:dyDescent="0.3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6.5" customHeight="1" x14ac:dyDescent="0.3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6.5" customHeight="1" x14ac:dyDescent="0.3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6.5" customHeight="1" x14ac:dyDescent="0.3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6.5" customHeight="1" x14ac:dyDescent="0.3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6.5" customHeight="1" x14ac:dyDescent="0.3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6.5" customHeight="1" x14ac:dyDescent="0.3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6.5" customHeight="1" x14ac:dyDescent="0.3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6.5" customHeight="1" x14ac:dyDescent="0.3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6.5" customHeight="1" x14ac:dyDescent="0.3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6.5" customHeight="1" x14ac:dyDescent="0.3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6.5" customHeight="1" x14ac:dyDescent="0.3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6.5" customHeight="1" x14ac:dyDescent="0.3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6.5" customHeight="1" x14ac:dyDescent="0.3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6.5" customHeight="1" x14ac:dyDescent="0.3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6.5" customHeight="1" x14ac:dyDescent="0.3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6.5" customHeight="1" x14ac:dyDescent="0.3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6.5" customHeight="1" x14ac:dyDescent="0.3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6.5" customHeight="1" x14ac:dyDescent="0.3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6.5" customHeight="1" x14ac:dyDescent="0.3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6.5" customHeight="1" x14ac:dyDescent="0.3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6.5" customHeight="1" x14ac:dyDescent="0.3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6.5" customHeight="1" x14ac:dyDescent="0.3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6.5" customHeight="1" x14ac:dyDescent="0.3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6.5" customHeight="1" x14ac:dyDescent="0.3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6.5" customHeight="1" x14ac:dyDescent="0.3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6.5" customHeight="1" x14ac:dyDescent="0.3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6.5" customHeight="1" x14ac:dyDescent="0.3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6.5" customHeight="1" x14ac:dyDescent="0.3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6.5" customHeight="1" x14ac:dyDescent="0.3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6.5" customHeight="1" x14ac:dyDescent="0.3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6.5" customHeight="1" x14ac:dyDescent="0.3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6.5" customHeight="1" x14ac:dyDescent="0.3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6.5" customHeight="1" x14ac:dyDescent="0.3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6.5" customHeight="1" x14ac:dyDescent="0.3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6.5" customHeight="1" x14ac:dyDescent="0.3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6.5" customHeight="1" x14ac:dyDescent="0.3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6.5" customHeight="1" x14ac:dyDescent="0.3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6.5" customHeight="1" x14ac:dyDescent="0.3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6.5" customHeight="1" x14ac:dyDescent="0.3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6.5" customHeight="1" x14ac:dyDescent="0.3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6.5" customHeight="1" x14ac:dyDescent="0.3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6.5" customHeight="1" x14ac:dyDescent="0.3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6.5" customHeight="1" x14ac:dyDescent="0.3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6.5" customHeight="1" x14ac:dyDescent="0.3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6.5" customHeight="1" x14ac:dyDescent="0.3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6.5" customHeight="1" x14ac:dyDescent="0.3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6.5" customHeight="1" x14ac:dyDescent="0.3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6.5" customHeight="1" x14ac:dyDescent="0.3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6.5" customHeight="1" x14ac:dyDescent="0.3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6.5" customHeight="1" x14ac:dyDescent="0.3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6.5" customHeight="1" x14ac:dyDescent="0.3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6.5" customHeight="1" x14ac:dyDescent="0.3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6.5" customHeight="1" x14ac:dyDescent="0.3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6.5" customHeight="1" x14ac:dyDescent="0.3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6.5" customHeight="1" x14ac:dyDescent="0.3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6.5" customHeight="1" x14ac:dyDescent="0.3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6.5" customHeight="1" x14ac:dyDescent="0.3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6.5" customHeight="1" x14ac:dyDescent="0.3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6.5" customHeight="1" x14ac:dyDescent="0.3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6.5" customHeight="1" x14ac:dyDescent="0.3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6.5" customHeight="1" x14ac:dyDescent="0.3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6.5" customHeight="1" x14ac:dyDescent="0.3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6.5" customHeight="1" x14ac:dyDescent="0.3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6.5" customHeight="1" x14ac:dyDescent="0.3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6.5" customHeight="1" x14ac:dyDescent="0.3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6.5" customHeight="1" x14ac:dyDescent="0.3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6.5" customHeight="1" x14ac:dyDescent="0.3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6.5" customHeight="1" x14ac:dyDescent="0.3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6.5" customHeight="1" x14ac:dyDescent="0.3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6.5" customHeight="1" x14ac:dyDescent="0.3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6.5" customHeight="1" x14ac:dyDescent="0.3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6.5" customHeight="1" x14ac:dyDescent="0.3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6.5" customHeight="1" x14ac:dyDescent="0.3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6.5" customHeight="1" x14ac:dyDescent="0.3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6.5" customHeight="1" x14ac:dyDescent="0.3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6.5" customHeight="1" x14ac:dyDescent="0.3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6.5" customHeight="1" x14ac:dyDescent="0.3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6.5" customHeight="1" x14ac:dyDescent="0.3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6.5" customHeight="1" x14ac:dyDescent="0.3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6.5" customHeight="1" x14ac:dyDescent="0.3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6.5" customHeight="1" x14ac:dyDescent="0.3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6.5" customHeight="1" x14ac:dyDescent="0.3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6.5" customHeight="1" x14ac:dyDescent="0.3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6.5" customHeight="1" x14ac:dyDescent="0.3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6.5" customHeight="1" x14ac:dyDescent="0.3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6.5" customHeight="1" x14ac:dyDescent="0.3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6.5" customHeight="1" x14ac:dyDescent="0.3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6.5" customHeight="1" x14ac:dyDescent="0.3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6.5" customHeight="1" x14ac:dyDescent="0.3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6.5" customHeight="1" x14ac:dyDescent="0.3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6.5" customHeight="1" x14ac:dyDescent="0.3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sheetProtection sheet="1" objects="1" scenarios="1"/>
  <mergeCells count="100">
    <mergeCell ref="B1:F1"/>
    <mergeCell ref="B2:D2"/>
    <mergeCell ref="B3:F3"/>
    <mergeCell ref="B4:F4"/>
    <mergeCell ref="B5:C5"/>
    <mergeCell ref="D5:F5"/>
    <mergeCell ref="B6:C6"/>
    <mergeCell ref="D6:E6"/>
    <mergeCell ref="B7:F7"/>
    <mergeCell ref="C8:E8"/>
    <mergeCell ref="D9:F9"/>
    <mergeCell ref="C10:E10"/>
    <mergeCell ref="C11:E11"/>
    <mergeCell ref="C12:E12"/>
    <mergeCell ref="C14:D14"/>
    <mergeCell ref="E14:F14"/>
    <mergeCell ref="D15:F15"/>
    <mergeCell ref="D16:F16"/>
    <mergeCell ref="C17:E17"/>
    <mergeCell ref="B18:F18"/>
    <mergeCell ref="B19:E19"/>
    <mergeCell ref="C21:E21"/>
    <mergeCell ref="C22:E22"/>
    <mergeCell ref="C23:E23"/>
    <mergeCell ref="C24:E24"/>
    <mergeCell ref="C25:E25"/>
    <mergeCell ref="C26:E26"/>
    <mergeCell ref="C27:E27"/>
    <mergeCell ref="C28:E28"/>
    <mergeCell ref="C29:E29"/>
    <mergeCell ref="B30:E30"/>
    <mergeCell ref="C33:D33"/>
    <mergeCell ref="C34:D34"/>
    <mergeCell ref="C35:D35"/>
    <mergeCell ref="B36:E36"/>
    <mergeCell ref="B37:F37"/>
    <mergeCell ref="C38:D38"/>
    <mergeCell ref="C39:D39"/>
    <mergeCell ref="C40:D40"/>
    <mergeCell ref="C41:D41"/>
    <mergeCell ref="C42:D42"/>
    <mergeCell ref="C43:D43"/>
    <mergeCell ref="C44:D44"/>
    <mergeCell ref="C45:D45"/>
    <mergeCell ref="C46:D46"/>
    <mergeCell ref="B47:E47"/>
    <mergeCell ref="C49:E49"/>
    <mergeCell ref="C50:E50"/>
    <mergeCell ref="C51:E51"/>
    <mergeCell ref="C52:E52"/>
    <mergeCell ref="C53:E53"/>
    <mergeCell ref="C54:E54"/>
    <mergeCell ref="B55:E55"/>
    <mergeCell ref="C57:E57"/>
    <mergeCell ref="C58:E58"/>
    <mergeCell ref="B59:E59"/>
    <mergeCell ref="C61:D61"/>
    <mergeCell ref="C62:D62"/>
    <mergeCell ref="C63:D63"/>
    <mergeCell ref="C64:D64"/>
    <mergeCell ref="C65:D65"/>
    <mergeCell ref="C66:D66"/>
    <mergeCell ref="C67:D67"/>
    <mergeCell ref="B68:E68"/>
    <mergeCell ref="C72:D72"/>
    <mergeCell ref="C73:D73"/>
    <mergeCell ref="C74:D74"/>
    <mergeCell ref="C75:D75"/>
    <mergeCell ref="C76:D76"/>
    <mergeCell ref="C77:D77"/>
    <mergeCell ref="C78:D78"/>
    <mergeCell ref="B79:E79"/>
    <mergeCell ref="C81:E81"/>
    <mergeCell ref="C82:E82"/>
    <mergeCell ref="B83:E83"/>
    <mergeCell ref="C86:E86"/>
    <mergeCell ref="C87:E87"/>
    <mergeCell ref="C88:E88"/>
    <mergeCell ref="C89:E89"/>
    <mergeCell ref="C90:E90"/>
    <mergeCell ref="B91:E91"/>
    <mergeCell ref="B93:F93"/>
    <mergeCell ref="C94:D94"/>
    <mergeCell ref="C95:D95"/>
    <mergeCell ref="C96:D96"/>
    <mergeCell ref="C97:D97"/>
    <mergeCell ref="C98:D98"/>
    <mergeCell ref="C99:D99"/>
    <mergeCell ref="C100:D100"/>
    <mergeCell ref="B101:E101"/>
    <mergeCell ref="C103:E103"/>
    <mergeCell ref="C109:E109"/>
    <mergeCell ref="B110:E110"/>
    <mergeCell ref="B111:E111"/>
    <mergeCell ref="B112:E112"/>
    <mergeCell ref="C104:E104"/>
    <mergeCell ref="C105:E105"/>
    <mergeCell ref="C106:E106"/>
    <mergeCell ref="C107:E107"/>
    <mergeCell ref="C108:E108"/>
  </mergeCells>
  <conditionalFormatting sqref="F51">
    <cfRule type="cellIs" dxfId="2" priority="2" operator="equal">
      <formula>"Insira o % do PAT"</formula>
    </cfRule>
  </conditionalFormatting>
  <printOptions horizontalCentered="1"/>
  <pageMargins left="7.9861111111111105E-2" right="0.05" top="0.196527777777778" bottom="0.15763888888888899" header="0.51180555555555496" footer="0.51180555555555496"/>
  <pageSetup paperSize="9" firstPageNumber="0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zoomScale="90" zoomScaleNormal="90" workbookViewId="0">
      <selection activeCell="K17" sqref="K17"/>
    </sheetView>
  </sheetViews>
  <sheetFormatPr defaultRowHeight="14.25" x14ac:dyDescent="0.2"/>
  <cols>
    <col min="1" max="1" width="7.42578125" style="201" customWidth="1"/>
    <col min="2" max="2" width="73.28515625" style="198" customWidth="1"/>
    <col min="3" max="3" width="14.5703125" style="198" customWidth="1"/>
    <col min="4" max="4" width="10.85546875" style="198" customWidth="1"/>
    <col min="5" max="5" width="10" style="198" customWidth="1"/>
    <col min="6" max="6" width="13.42578125" style="198" customWidth="1"/>
    <col min="7" max="16384" width="9.140625" style="198"/>
  </cols>
  <sheetData>
    <row r="1" spans="1:6" x14ac:dyDescent="0.2">
      <c r="A1" s="317" t="s">
        <v>304</v>
      </c>
      <c r="B1" s="317"/>
      <c r="C1" s="317"/>
      <c r="D1" s="317"/>
      <c r="E1" s="317"/>
      <c r="F1" s="317"/>
    </row>
    <row r="2" spans="1:6" ht="42.75" x14ac:dyDescent="0.2">
      <c r="A2" s="197" t="s">
        <v>26</v>
      </c>
      <c r="B2" s="197" t="s">
        <v>216</v>
      </c>
      <c r="C2" s="197" t="s">
        <v>217</v>
      </c>
      <c r="D2" s="197" t="s">
        <v>218</v>
      </c>
      <c r="E2" s="197" t="s">
        <v>219</v>
      </c>
      <c r="F2" s="197" t="s">
        <v>220</v>
      </c>
    </row>
    <row r="3" spans="1:6" ht="28.5" x14ac:dyDescent="0.2">
      <c r="A3" s="199">
        <v>1</v>
      </c>
      <c r="B3" s="200" t="s">
        <v>221</v>
      </c>
      <c r="C3" s="200">
        <v>4</v>
      </c>
      <c r="D3" s="194">
        <v>67.95</v>
      </c>
      <c r="E3" s="195">
        <f>D3*C3</f>
        <v>271.8</v>
      </c>
      <c r="F3" s="195">
        <f>ROUND(E3/12,2)</f>
        <v>22.65</v>
      </c>
    </row>
    <row r="4" spans="1:6" ht="42.75" x14ac:dyDescent="0.2">
      <c r="A4" s="199">
        <v>2</v>
      </c>
      <c r="B4" s="200" t="s">
        <v>222</v>
      </c>
      <c r="C4" s="200">
        <v>8</v>
      </c>
      <c r="D4" s="194">
        <v>53.2</v>
      </c>
      <c r="E4" s="195">
        <f>D4*C4</f>
        <v>425.6</v>
      </c>
      <c r="F4" s="195">
        <f>ROUND(E4/12,2)</f>
        <v>35.47</v>
      </c>
    </row>
    <row r="5" spans="1:6" x14ac:dyDescent="0.2">
      <c r="A5" s="199">
        <v>3</v>
      </c>
      <c r="B5" s="200" t="s">
        <v>223</v>
      </c>
      <c r="C5" s="200">
        <v>4</v>
      </c>
      <c r="D5" s="194">
        <v>52.45</v>
      </c>
      <c r="E5" s="195">
        <f>D5*C5</f>
        <v>209.8</v>
      </c>
      <c r="F5" s="195">
        <f>ROUND(E5/12,2)</f>
        <v>17.48</v>
      </c>
    </row>
    <row r="6" spans="1:6" x14ac:dyDescent="0.2">
      <c r="A6" s="199">
        <v>4</v>
      </c>
      <c r="B6" s="200" t="s">
        <v>224</v>
      </c>
      <c r="C6" s="200">
        <v>8</v>
      </c>
      <c r="D6" s="194">
        <v>13.95</v>
      </c>
      <c r="E6" s="195">
        <f>D6*C6</f>
        <v>111.6</v>
      </c>
      <c r="F6" s="195">
        <f>ROUND(E6/12,2)</f>
        <v>9.3000000000000007</v>
      </c>
    </row>
    <row r="7" spans="1:6" ht="12.75" customHeight="1" x14ac:dyDescent="0.2">
      <c r="A7" s="316" t="s">
        <v>167</v>
      </c>
      <c r="B7" s="316"/>
      <c r="C7" s="316"/>
      <c r="D7" s="316"/>
      <c r="E7" s="196">
        <f>SUM(E3:E6)</f>
        <v>1018.8000000000001</v>
      </c>
      <c r="F7" s="196">
        <f>SUM(F3:F6)</f>
        <v>84.899999999999991</v>
      </c>
    </row>
    <row r="8" spans="1:6" x14ac:dyDescent="0.2">
      <c r="A8" s="317" t="s">
        <v>305</v>
      </c>
      <c r="B8" s="317"/>
      <c r="C8" s="317"/>
      <c r="D8" s="317"/>
      <c r="E8" s="317"/>
      <c r="F8" s="317"/>
    </row>
    <row r="9" spans="1:6" ht="42.75" x14ac:dyDescent="0.2">
      <c r="A9" s="197" t="s">
        <v>26</v>
      </c>
      <c r="B9" s="197" t="s">
        <v>216</v>
      </c>
      <c r="C9" s="197" t="s">
        <v>217</v>
      </c>
      <c r="D9" s="197" t="s">
        <v>218</v>
      </c>
      <c r="E9" s="197" t="s">
        <v>219</v>
      </c>
      <c r="F9" s="197" t="s">
        <v>220</v>
      </c>
    </row>
    <row r="10" spans="1:6" ht="28.5" x14ac:dyDescent="0.2">
      <c r="A10" s="199">
        <v>1</v>
      </c>
      <c r="B10" s="200" t="s">
        <v>225</v>
      </c>
      <c r="C10" s="200">
        <v>4</v>
      </c>
      <c r="D10" s="194">
        <v>67.5</v>
      </c>
      <c r="E10" s="195">
        <f>D10*C10</f>
        <v>270</v>
      </c>
      <c r="F10" s="195">
        <f>ROUND(E10/12,2)</f>
        <v>22.5</v>
      </c>
    </row>
    <row r="11" spans="1:6" ht="28.5" x14ac:dyDescent="0.2">
      <c r="A11" s="199">
        <v>2</v>
      </c>
      <c r="B11" s="200" t="s">
        <v>226</v>
      </c>
      <c r="C11" s="200">
        <v>8</v>
      </c>
      <c r="D11" s="194">
        <v>63.69</v>
      </c>
      <c r="E11" s="195">
        <f>D11*C11</f>
        <v>509.52</v>
      </c>
      <c r="F11" s="195">
        <f>ROUND(E11/12,2)</f>
        <v>42.46</v>
      </c>
    </row>
    <row r="12" spans="1:6" ht="28.5" x14ac:dyDescent="0.2">
      <c r="A12" s="199">
        <v>3</v>
      </c>
      <c r="B12" s="200" t="s">
        <v>227</v>
      </c>
      <c r="C12" s="200">
        <v>2</v>
      </c>
      <c r="D12" s="194">
        <v>94.44</v>
      </c>
      <c r="E12" s="195">
        <f>D12*C12</f>
        <v>188.88</v>
      </c>
      <c r="F12" s="195">
        <f>ROUND(E12/12,2)</f>
        <v>15.74</v>
      </c>
    </row>
    <row r="13" spans="1:6" x14ac:dyDescent="0.2">
      <c r="A13" s="199">
        <v>4</v>
      </c>
      <c r="B13" s="200" t="s">
        <v>228</v>
      </c>
      <c r="C13" s="200">
        <v>4</v>
      </c>
      <c r="D13" s="194">
        <v>78.66</v>
      </c>
      <c r="E13" s="195">
        <f>D13*C13</f>
        <v>314.64</v>
      </c>
      <c r="F13" s="195">
        <f>ROUND(E13/12,2)</f>
        <v>26.22</v>
      </c>
    </row>
    <row r="14" spans="1:6" x14ac:dyDescent="0.2">
      <c r="A14" s="199">
        <v>5</v>
      </c>
      <c r="B14" s="200" t="s">
        <v>229</v>
      </c>
      <c r="C14" s="200">
        <v>8</v>
      </c>
      <c r="D14" s="194">
        <v>10.41</v>
      </c>
      <c r="E14" s="195">
        <f>D14*C14</f>
        <v>83.28</v>
      </c>
      <c r="F14" s="195">
        <f>ROUND(E14/12,2)</f>
        <v>6.94</v>
      </c>
    </row>
    <row r="15" spans="1:6" ht="12.75" customHeight="1" x14ac:dyDescent="0.2">
      <c r="A15" s="316" t="s">
        <v>167</v>
      </c>
      <c r="B15" s="316"/>
      <c r="C15" s="316"/>
      <c r="D15" s="316"/>
      <c r="E15" s="196">
        <f>SUM(E10:E14)</f>
        <v>1366.32</v>
      </c>
      <c r="F15" s="196">
        <f>SUM(F10:F14)</f>
        <v>113.86</v>
      </c>
    </row>
    <row r="16" spans="1:6" x14ac:dyDescent="0.2">
      <c r="A16" s="317" t="s">
        <v>306</v>
      </c>
      <c r="B16" s="317"/>
      <c r="C16" s="317"/>
      <c r="D16" s="317"/>
      <c r="E16" s="317"/>
      <c r="F16" s="317"/>
    </row>
    <row r="17" spans="1:6" ht="42.75" x14ac:dyDescent="0.2">
      <c r="A17" s="197" t="s">
        <v>26</v>
      </c>
      <c r="B17" s="197" t="s">
        <v>216</v>
      </c>
      <c r="C17" s="197" t="s">
        <v>217</v>
      </c>
      <c r="D17" s="197" t="s">
        <v>218</v>
      </c>
      <c r="E17" s="197" t="s">
        <v>230</v>
      </c>
      <c r="F17" s="197" t="s">
        <v>220</v>
      </c>
    </row>
    <row r="18" spans="1:6" ht="28.5" x14ac:dyDescent="0.2">
      <c r="A18" s="199">
        <v>1</v>
      </c>
      <c r="B18" s="200" t="s">
        <v>231</v>
      </c>
      <c r="C18" s="200">
        <v>4</v>
      </c>
      <c r="D18" s="194">
        <v>82.97</v>
      </c>
      <c r="E18" s="195">
        <f>D18*C18</f>
        <v>331.88</v>
      </c>
      <c r="F18" s="195">
        <f>ROUND(E18/12,2)</f>
        <v>27.66</v>
      </c>
    </row>
    <row r="19" spans="1:6" ht="42.75" x14ac:dyDescent="0.2">
      <c r="A19" s="199">
        <v>2</v>
      </c>
      <c r="B19" s="200" t="s">
        <v>232</v>
      </c>
      <c r="C19" s="200">
        <v>8</v>
      </c>
      <c r="D19" s="194">
        <v>86.78</v>
      </c>
      <c r="E19" s="195">
        <f>D19*C19</f>
        <v>694.24</v>
      </c>
      <c r="F19" s="195">
        <f>ROUND(E19/12,2)</f>
        <v>57.85</v>
      </c>
    </row>
    <row r="20" spans="1:6" ht="42.75" x14ac:dyDescent="0.2">
      <c r="A20" s="199">
        <v>3</v>
      </c>
      <c r="B20" s="200" t="s">
        <v>233</v>
      </c>
      <c r="C20" s="200">
        <v>2</v>
      </c>
      <c r="D20" s="194">
        <v>178.59</v>
      </c>
      <c r="E20" s="195">
        <f>D20*C20</f>
        <v>357.18</v>
      </c>
      <c r="F20" s="195">
        <f>ROUND(E20/12,2)</f>
        <v>29.77</v>
      </c>
    </row>
    <row r="21" spans="1:6" ht="28.5" x14ac:dyDescent="0.2">
      <c r="A21" s="199">
        <v>4</v>
      </c>
      <c r="B21" s="200" t="s">
        <v>234</v>
      </c>
      <c r="C21" s="200">
        <v>4</v>
      </c>
      <c r="D21" s="194">
        <v>216.8</v>
      </c>
      <c r="E21" s="195">
        <f>D21*C21</f>
        <v>867.2</v>
      </c>
      <c r="F21" s="195">
        <f>ROUND(E21/12,2)</f>
        <v>72.27</v>
      </c>
    </row>
    <row r="22" spans="1:6" x14ac:dyDescent="0.2">
      <c r="A22" s="199">
        <v>5</v>
      </c>
      <c r="B22" s="200" t="s">
        <v>235</v>
      </c>
      <c r="C22" s="200">
        <v>8</v>
      </c>
      <c r="D22" s="194">
        <v>25.11</v>
      </c>
      <c r="E22" s="195">
        <f>D22*C22</f>
        <v>200.88</v>
      </c>
      <c r="F22" s="195">
        <f>ROUND(E22/12,2)</f>
        <v>16.739999999999998</v>
      </c>
    </row>
    <row r="23" spans="1:6" ht="12.75" customHeight="1" x14ac:dyDescent="0.2">
      <c r="A23" s="316" t="s">
        <v>167</v>
      </c>
      <c r="B23" s="316"/>
      <c r="C23" s="316"/>
      <c r="D23" s="316"/>
      <c r="E23" s="196">
        <f>SUM(E18:E22)</f>
        <v>2451.38</v>
      </c>
      <c r="F23" s="196">
        <f>SUM(F18:F22)</f>
        <v>204.29000000000002</v>
      </c>
    </row>
  </sheetData>
  <mergeCells count="6">
    <mergeCell ref="A23:D23"/>
    <mergeCell ref="A1:F1"/>
    <mergeCell ref="A7:D7"/>
    <mergeCell ref="A8:F8"/>
    <mergeCell ref="A15:D15"/>
    <mergeCell ref="A16:F16"/>
  </mergeCells>
  <pageMargins left="0.196527777777778" right="0.196527777777778" top="0.19722222222222199" bottom="0.19722222222222199" header="0.31527777777777799" footer="0"/>
  <pageSetup paperSize="9" firstPageNumber="0" orientation="landscape" horizontalDpi="300" verticalDpi="300" r:id="rId1"/>
  <headerFooter>
    <oddHeader>&amp;C&amp;"Times New Roman,Normal"&amp;12&amp;A</oddHeader>
    <oddFooter>&amp;C&amp;"Times New Roman,Normal"&amp;12Página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L20"/>
  <sheetViews>
    <sheetView zoomScale="90" zoomScaleNormal="90" workbookViewId="0">
      <selection activeCell="I28" sqref="I28"/>
    </sheetView>
  </sheetViews>
  <sheetFormatPr defaultRowHeight="14.25" x14ac:dyDescent="0.25"/>
  <cols>
    <col min="1" max="1" width="4.28515625" style="178" customWidth="1"/>
    <col min="2" max="2" width="21.7109375" style="178" customWidth="1"/>
    <col min="3" max="4" width="9.5703125" style="178" customWidth="1"/>
    <col min="5" max="5" width="15.7109375" style="178" customWidth="1"/>
    <col min="6" max="6" width="11" style="178" customWidth="1"/>
    <col min="7" max="7" width="10.42578125" style="178" customWidth="1"/>
    <col min="8" max="12" width="9.5703125" style="178" customWidth="1"/>
    <col min="13" max="1023" width="11.5703125" style="178"/>
    <col min="1024" max="16384" width="9.140625" style="178"/>
  </cols>
  <sheetData>
    <row r="3" spans="1:12" x14ac:dyDescent="0.25">
      <c r="A3" s="320" t="s">
        <v>240</v>
      </c>
      <c r="B3" s="320"/>
      <c r="C3" s="320"/>
      <c r="D3" s="320"/>
      <c r="E3" s="320"/>
      <c r="F3" s="320"/>
      <c r="G3" s="320"/>
      <c r="H3" s="320"/>
      <c r="I3" s="320"/>
      <c r="J3" s="320"/>
      <c r="K3" s="320"/>
      <c r="L3" s="320"/>
    </row>
    <row r="4" spans="1:12" x14ac:dyDescent="0.25">
      <c r="A4" s="321" t="s">
        <v>241</v>
      </c>
      <c r="B4" s="321"/>
      <c r="C4" s="321"/>
      <c r="D4" s="321"/>
      <c r="E4" s="321"/>
      <c r="F4" s="321"/>
      <c r="G4" s="321"/>
      <c r="H4" s="321"/>
      <c r="I4" s="321"/>
      <c r="J4" s="321"/>
      <c r="K4" s="321"/>
      <c r="L4" s="321"/>
    </row>
    <row r="5" spans="1:12" ht="78" x14ac:dyDescent="0.25">
      <c r="A5" s="179" t="s">
        <v>242</v>
      </c>
      <c r="B5" s="180" t="s">
        <v>243</v>
      </c>
      <c r="C5" s="180" t="s">
        <v>244</v>
      </c>
      <c r="D5" s="180" t="s">
        <v>245</v>
      </c>
      <c r="E5" s="180" t="s">
        <v>246</v>
      </c>
      <c r="F5" s="180" t="s">
        <v>247</v>
      </c>
      <c r="G5" s="180" t="s">
        <v>248</v>
      </c>
      <c r="H5" s="180" t="s">
        <v>249</v>
      </c>
      <c r="I5" s="180" t="s">
        <v>250</v>
      </c>
      <c r="J5" s="180" t="s">
        <v>301</v>
      </c>
      <c r="K5" s="180" t="s">
        <v>302</v>
      </c>
      <c r="L5" s="181" t="s">
        <v>303</v>
      </c>
    </row>
    <row r="6" spans="1:12" ht="28.5" x14ac:dyDescent="0.25">
      <c r="A6" s="182">
        <v>1</v>
      </c>
      <c r="B6" s="183" t="s">
        <v>310</v>
      </c>
      <c r="C6" s="182" t="s">
        <v>244</v>
      </c>
      <c r="D6" s="182">
        <v>1</v>
      </c>
      <c r="E6" s="184">
        <v>446.8</v>
      </c>
      <c r="F6" s="182">
        <v>60</v>
      </c>
      <c r="G6" s="185">
        <f>D6/F6</f>
        <v>1.6666666666666666E-2</v>
      </c>
      <c r="H6" s="182">
        <v>60</v>
      </c>
      <c r="I6" s="186">
        <v>0.1</v>
      </c>
      <c r="J6" s="184">
        <f>I6*E6</f>
        <v>44.680000000000007</v>
      </c>
      <c r="K6" s="184">
        <f>ROUND((E6-J6)/H6,2)</f>
        <v>6.7</v>
      </c>
      <c r="L6" s="187">
        <f>K6*D6</f>
        <v>6.7</v>
      </c>
    </row>
    <row r="7" spans="1:12" x14ac:dyDescent="0.25">
      <c r="A7" s="318" t="s">
        <v>251</v>
      </c>
      <c r="B7" s="318"/>
      <c r="C7" s="318"/>
      <c r="D7" s="318"/>
      <c r="E7" s="318"/>
      <c r="F7" s="318"/>
      <c r="G7" s="318"/>
      <c r="H7" s="318"/>
      <c r="I7" s="318"/>
      <c r="J7" s="318"/>
      <c r="K7" s="318"/>
      <c r="L7" s="188">
        <f>L6/2</f>
        <v>3.35</v>
      </c>
    </row>
    <row r="12" spans="1:12" x14ac:dyDescent="0.25">
      <c r="B12" s="320" t="s">
        <v>252</v>
      </c>
      <c r="C12" s="320"/>
      <c r="D12" s="320"/>
      <c r="E12" s="320"/>
      <c r="F12" s="320"/>
      <c r="G12" s="320"/>
    </row>
    <row r="13" spans="1:12" ht="30.75" x14ac:dyDescent="0.25">
      <c r="B13" s="321" t="s">
        <v>243</v>
      </c>
      <c r="C13" s="321"/>
      <c r="D13" s="189" t="s">
        <v>253</v>
      </c>
      <c r="E13" s="189" t="s">
        <v>254</v>
      </c>
      <c r="F13" s="189" t="s">
        <v>255</v>
      </c>
      <c r="G13" s="190" t="s">
        <v>303</v>
      </c>
    </row>
    <row r="14" spans="1:12" x14ac:dyDescent="0.25">
      <c r="B14" s="319" t="s">
        <v>307</v>
      </c>
      <c r="C14" s="319"/>
      <c r="D14" s="182">
        <v>2</v>
      </c>
      <c r="E14" s="182" t="s">
        <v>256</v>
      </c>
      <c r="F14" s="184">
        <v>24.73</v>
      </c>
      <c r="G14" s="184">
        <f>F14*D14</f>
        <v>49.46</v>
      </c>
    </row>
    <row r="15" spans="1:12" x14ac:dyDescent="0.25">
      <c r="B15" s="319" t="s">
        <v>257</v>
      </c>
      <c r="C15" s="319"/>
      <c r="D15" s="182">
        <v>2</v>
      </c>
      <c r="E15" s="182" t="s">
        <v>256</v>
      </c>
      <c r="F15" s="184">
        <v>35.44</v>
      </c>
      <c r="G15" s="184">
        <f>F15*D15</f>
        <v>70.88</v>
      </c>
    </row>
    <row r="16" spans="1:12" x14ac:dyDescent="0.25">
      <c r="B16" s="319" t="s">
        <v>308</v>
      </c>
      <c r="C16" s="319"/>
      <c r="D16" s="182">
        <v>2</v>
      </c>
      <c r="E16" s="182" t="s">
        <v>256</v>
      </c>
      <c r="F16" s="184">
        <v>41.99</v>
      </c>
      <c r="G16" s="184">
        <f>F16*D16</f>
        <v>83.98</v>
      </c>
    </row>
    <row r="17" spans="2:7" x14ac:dyDescent="0.25">
      <c r="B17" s="319" t="s">
        <v>309</v>
      </c>
      <c r="C17" s="319"/>
      <c r="D17" s="182">
        <v>2</v>
      </c>
      <c r="E17" s="182" t="s">
        <v>256</v>
      </c>
      <c r="F17" s="184">
        <v>9.02</v>
      </c>
      <c r="G17" s="184">
        <f>F17*D17</f>
        <v>18.04</v>
      </c>
    </row>
    <row r="18" spans="2:7" x14ac:dyDescent="0.25">
      <c r="B18" s="319" t="s">
        <v>167</v>
      </c>
      <c r="C18" s="319"/>
      <c r="D18" s="319"/>
      <c r="E18" s="319"/>
      <c r="F18" s="319"/>
      <c r="G18" s="191">
        <f>SUM(G14:G17)</f>
        <v>222.35999999999999</v>
      </c>
    </row>
    <row r="19" spans="2:7" x14ac:dyDescent="0.25">
      <c r="B19" s="318" t="s">
        <v>258</v>
      </c>
      <c r="C19" s="318"/>
      <c r="D19" s="318"/>
      <c r="E19" s="318"/>
      <c r="F19" s="318"/>
      <c r="G19" s="192">
        <f>G18/12/2</f>
        <v>9.2649999999999988</v>
      </c>
    </row>
    <row r="20" spans="2:7" x14ac:dyDescent="0.25">
      <c r="B20" s="193"/>
      <c r="C20" s="193"/>
      <c r="D20" s="193"/>
      <c r="E20" s="193"/>
      <c r="F20" s="193"/>
      <c r="G20" s="193"/>
    </row>
  </sheetData>
  <mergeCells count="11">
    <mergeCell ref="A3:L3"/>
    <mergeCell ref="A4:L4"/>
    <mergeCell ref="A7:K7"/>
    <mergeCell ref="B12:G12"/>
    <mergeCell ref="B13:C13"/>
    <mergeCell ref="B19:F19"/>
    <mergeCell ref="B14:C14"/>
    <mergeCell ref="B15:C15"/>
    <mergeCell ref="B16:C16"/>
    <mergeCell ref="B17:C17"/>
    <mergeCell ref="B18:F18"/>
  </mergeCells>
  <pageMargins left="0.78749999999999998" right="0.78749999999999998" top="1.05277777777778" bottom="1.05277777777778" header="0.78749999999999998" footer="0.78749999999999998"/>
  <pageSetup paperSize="9" firstPageNumber="0" orientation="landscape" r:id="rId1"/>
  <headerFooter>
    <oddHeader>&amp;C&amp;"Times New Roman,Normal"&amp;12&amp;A</oddHeader>
    <oddFooter>&amp;C&amp;"Times New Roman,Normal"&amp;12Página &amp;P</oddFooter>
  </headerFooter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G93"/>
  <sheetViews>
    <sheetView topLeftCell="B4" zoomScale="90" zoomScaleNormal="90" workbookViewId="0">
      <selection activeCell="K42" sqref="K42"/>
    </sheetView>
  </sheetViews>
  <sheetFormatPr defaultRowHeight="14.25" x14ac:dyDescent="0.25"/>
  <cols>
    <col min="1" max="1" width="2.7109375" style="1" customWidth="1"/>
    <col min="2" max="2" width="8.85546875" style="1" customWidth="1"/>
    <col min="3" max="3" width="52.5703125" style="1" customWidth="1"/>
    <col min="4" max="4" width="15.7109375" style="1" customWidth="1"/>
    <col min="5" max="5" width="13.5703125" style="1" customWidth="1"/>
    <col min="6" max="8" width="17.28515625" style="1" customWidth="1"/>
    <col min="9" max="991" width="12.5703125" style="1" customWidth="1"/>
    <col min="992" max="1022" width="11.5703125"/>
    <col min="1023" max="1025" width="8.7109375" customWidth="1"/>
  </cols>
  <sheetData>
    <row r="1" spans="1:8" ht="15.75" customHeight="1" x14ac:dyDescent="0.3">
      <c r="A1" s="3"/>
      <c r="B1" s="96"/>
      <c r="C1" s="96"/>
      <c r="D1" s="96"/>
      <c r="E1" s="96"/>
      <c r="F1" s="96"/>
      <c r="G1" s="3"/>
      <c r="H1" s="3"/>
    </row>
    <row r="2" spans="1:8" ht="27.75" customHeight="1" x14ac:dyDescent="0.25">
      <c r="A2" s="3"/>
      <c r="B2" s="326" t="s">
        <v>197</v>
      </c>
      <c r="C2" s="326"/>
      <c r="D2" s="326"/>
      <c r="E2" s="326"/>
      <c r="F2" s="326"/>
      <c r="G2" s="326"/>
      <c r="H2" s="326"/>
    </row>
    <row r="3" spans="1:8" ht="15" customHeight="1" x14ac:dyDescent="0.3">
      <c r="A3" s="3"/>
      <c r="B3" s="132"/>
      <c r="C3" s="133"/>
      <c r="D3" s="133"/>
      <c r="E3" s="133"/>
      <c r="F3" s="134"/>
      <c r="G3" s="3"/>
      <c r="H3" s="3"/>
    </row>
    <row r="4" spans="1:8" ht="20.25" customHeight="1" x14ac:dyDescent="0.35">
      <c r="A4" s="105"/>
      <c r="B4" s="325" t="s">
        <v>237</v>
      </c>
      <c r="C4" s="325"/>
      <c r="D4" s="325"/>
      <c r="E4" s="325"/>
      <c r="F4" s="325"/>
      <c r="G4" s="325"/>
      <c r="H4" s="325"/>
    </row>
    <row r="6" spans="1:8" s="136" customFormat="1" ht="16.5" customHeight="1" x14ac:dyDescent="0.3">
      <c r="A6" s="2"/>
      <c r="B6" s="272" t="s">
        <v>198</v>
      </c>
      <c r="C6" s="272"/>
      <c r="D6" s="272"/>
      <c r="E6" s="272"/>
      <c r="F6" s="135">
        <f>IF(EMPREG_POR_POSTO="","",EMPREG_POR_POSTO)</f>
        <v>1</v>
      </c>
      <c r="G6" s="135">
        <f>IF(EMPREG_POR_POSTO="","",EMPREG_POR_POSTO)</f>
        <v>1</v>
      </c>
      <c r="H6" s="135">
        <f>IF(EMPREG_POR_POSTO="","",EMPREG_POR_POSTO)</f>
        <v>1</v>
      </c>
    </row>
    <row r="7" spans="1:8" ht="16.5" customHeight="1" x14ac:dyDescent="0.3">
      <c r="A7" s="2"/>
      <c r="B7" s="38" t="s">
        <v>46</v>
      </c>
      <c r="C7" s="2"/>
      <c r="D7" s="2"/>
      <c r="E7" s="39"/>
      <c r="F7" s="129" t="s">
        <v>236</v>
      </c>
      <c r="G7" s="130" t="s">
        <v>23</v>
      </c>
      <c r="H7" s="131" t="s">
        <v>24</v>
      </c>
    </row>
    <row r="8" spans="1:8" ht="16.5" customHeight="1" x14ac:dyDescent="0.3">
      <c r="A8" s="2"/>
      <c r="B8" s="5">
        <v>1</v>
      </c>
      <c r="C8" s="277" t="s">
        <v>47</v>
      </c>
      <c r="D8" s="277"/>
      <c r="E8" s="277"/>
      <c r="F8" s="40" t="s">
        <v>97</v>
      </c>
      <c r="G8" s="40" t="s">
        <v>97</v>
      </c>
      <c r="H8" s="40" t="s">
        <v>97</v>
      </c>
    </row>
    <row r="9" spans="1:8" ht="16.5" customHeight="1" x14ac:dyDescent="0.3">
      <c r="A9" s="2"/>
      <c r="B9" s="5" t="s">
        <v>11</v>
      </c>
      <c r="C9" s="279" t="s">
        <v>199</v>
      </c>
      <c r="D9" s="279"/>
      <c r="E9" s="279"/>
      <c r="F9" s="137">
        <f>SALARIO_BASE</f>
        <v>1601.55</v>
      </c>
      <c r="G9" s="138">
        <f>SALARIO_BASE2</f>
        <v>2402.3143229999996</v>
      </c>
      <c r="H9" s="139">
        <f>SALARIO_BASE3</f>
        <v>1601.55</v>
      </c>
    </row>
    <row r="10" spans="1:8" ht="16.5" customHeight="1" x14ac:dyDescent="0.3">
      <c r="A10" s="2"/>
      <c r="B10" s="5" t="s">
        <v>13</v>
      </c>
      <c r="C10" s="266" t="s">
        <v>200</v>
      </c>
      <c r="D10" s="266"/>
      <c r="E10" s="266"/>
      <c r="F10" s="137">
        <f>PERC_ADIC_PERIC%*SALARIO_BASE</f>
        <v>0</v>
      </c>
      <c r="G10" s="138">
        <f>PERC_ADIC_PERIC2%*SALARIO_BASE2</f>
        <v>0</v>
      </c>
      <c r="H10" s="139">
        <f>PERC_ADIC_PERIC3%*SALARIO_BASE3</f>
        <v>0</v>
      </c>
    </row>
    <row r="11" spans="1:8" ht="15.75" customHeight="1" x14ac:dyDescent="0.3">
      <c r="A11" s="2"/>
      <c r="B11" s="5" t="s">
        <v>15</v>
      </c>
      <c r="C11" s="267" t="s">
        <v>203</v>
      </c>
      <c r="D11" s="267"/>
      <c r="E11" s="267"/>
      <c r="F11" s="137">
        <f>PERC_ADIC_INS%*SAL_MINIMO</f>
        <v>0</v>
      </c>
      <c r="G11" s="138">
        <f>PERC_ADIC_INS2%*SAL_MINIMO</f>
        <v>0</v>
      </c>
      <c r="H11" s="139">
        <f>PERC_ADIC_INS%*SAL_MINIMO</f>
        <v>0</v>
      </c>
    </row>
    <row r="12" spans="1:8" ht="16.5" customHeight="1" x14ac:dyDescent="0.3">
      <c r="A12" s="2"/>
      <c r="B12" s="5" t="s">
        <v>17</v>
      </c>
      <c r="C12" s="283" t="str">
        <f>OUTROS_REMUNERACAO_1_DESCRICAO</f>
        <v>Outras Remunerações 1 (Especificar)</v>
      </c>
      <c r="D12" s="283"/>
      <c r="E12" s="283"/>
      <c r="F12" s="137">
        <f>OUTROS_REMUNERACAO_1</f>
        <v>0</v>
      </c>
      <c r="G12" s="138">
        <f>OUTROS_REMUNERACAO_2</f>
        <v>0</v>
      </c>
      <c r="H12" s="139">
        <f>OUTROS_REMUNERACAO_3</f>
        <v>0</v>
      </c>
    </row>
    <row r="13" spans="1:8" ht="16.5" customHeight="1" x14ac:dyDescent="0.3">
      <c r="A13" s="2"/>
      <c r="B13" s="5" t="s">
        <v>19</v>
      </c>
      <c r="C13" s="279" t="str">
        <f>OUTROS_REMUNERACAO_2_DESCRICAO</f>
        <v>Outras Remunerações 2 (Especificar)</v>
      </c>
      <c r="D13" s="279"/>
      <c r="E13" s="279"/>
      <c r="F13" s="137">
        <f>OUTROS_REMUNERACAO_2</f>
        <v>0</v>
      </c>
      <c r="G13" s="138">
        <f>OUTROS_REMUNERACAO_22</f>
        <v>0</v>
      </c>
      <c r="H13" s="139">
        <f>OUTROS_REMUNERACAO_23</f>
        <v>0</v>
      </c>
    </row>
    <row r="14" spans="1:8" ht="16.5" customHeight="1" x14ac:dyDescent="0.3">
      <c r="A14" s="2"/>
      <c r="B14" s="5" t="s">
        <v>54</v>
      </c>
      <c r="C14" s="283" t="str">
        <f>OUTROS_REMUNERACAO_3_DESCRICAO</f>
        <v>Outras Remunerações 3 (Especificar)</v>
      </c>
      <c r="D14" s="283"/>
      <c r="E14" s="283"/>
      <c r="F14" s="137">
        <f>OUTROS_REMUNERACAO_3</f>
        <v>0</v>
      </c>
      <c r="G14" s="138">
        <f>OUTROS_REMUNERACAO_32</f>
        <v>0</v>
      </c>
      <c r="H14" s="139">
        <f>OUTROS_REMUNERACAO_33</f>
        <v>0</v>
      </c>
    </row>
    <row r="15" spans="1:8" ht="16.5" customHeight="1" x14ac:dyDescent="0.3">
      <c r="A15" s="2"/>
      <c r="B15" s="277" t="s">
        <v>167</v>
      </c>
      <c r="C15" s="277"/>
      <c r="D15" s="277"/>
      <c r="E15" s="277"/>
      <c r="F15" s="109">
        <f>SUM(F9:F14)</f>
        <v>1601.55</v>
      </c>
      <c r="G15" s="109">
        <f>SUM(G9:G14)</f>
        <v>2402.3143229999996</v>
      </c>
      <c r="H15" s="109">
        <f>SUM(H9:H14)</f>
        <v>1601.55</v>
      </c>
    </row>
    <row r="16" spans="1:8" ht="16.5" customHeight="1" x14ac:dyDescent="0.3">
      <c r="A16" s="2"/>
      <c r="B16" s="38" t="s">
        <v>58</v>
      </c>
      <c r="C16" s="2"/>
      <c r="D16" s="2"/>
      <c r="E16" s="49"/>
      <c r="F16" s="129"/>
      <c r="G16" s="130"/>
      <c r="H16" s="131"/>
    </row>
    <row r="17" spans="1:8" ht="16.5" customHeight="1" x14ac:dyDescent="0.3">
      <c r="A17" s="2"/>
      <c r="B17" s="38" t="s">
        <v>149</v>
      </c>
      <c r="C17" s="61"/>
      <c r="D17" s="62"/>
      <c r="E17" s="63"/>
      <c r="F17" s="140"/>
      <c r="G17" s="141"/>
      <c r="H17" s="142"/>
    </row>
    <row r="18" spans="1:8" ht="16.5" customHeight="1" x14ac:dyDescent="0.3">
      <c r="A18" s="2"/>
      <c r="B18" s="5" t="s">
        <v>150</v>
      </c>
      <c r="C18" s="272" t="s">
        <v>151</v>
      </c>
      <c r="D18" s="272"/>
      <c r="E18" s="40" t="s">
        <v>90</v>
      </c>
      <c r="F18" s="40" t="s">
        <v>97</v>
      </c>
      <c r="G18" s="40" t="s">
        <v>97</v>
      </c>
      <c r="H18" s="40" t="s">
        <v>97</v>
      </c>
    </row>
    <row r="19" spans="1:8" ht="16.5" customHeight="1" x14ac:dyDescent="0.3">
      <c r="A19" s="2"/>
      <c r="B19" s="5" t="s">
        <v>11</v>
      </c>
      <c r="C19" s="267" t="s">
        <v>153</v>
      </c>
      <c r="D19" s="267"/>
      <c r="E19" s="89">
        <f>PERC_DEC_TERC</f>
        <v>8.3333333333333321</v>
      </c>
      <c r="F19" s="143">
        <f>PERC_DEC_TERC%*MOD_1_REMUNERACAO_44H</f>
        <v>133.46249999999998</v>
      </c>
      <c r="G19" s="144">
        <f>PERC_DEC_TERC%*MOD_1_REMUNERACAO_44H2</f>
        <v>200.19286024999991</v>
      </c>
      <c r="H19" s="145">
        <f>PERC_DEC_TERC%*MOD_1_REMUNERACAO_44H3</f>
        <v>133.46249999999998</v>
      </c>
    </row>
    <row r="20" spans="1:8" ht="16.5" customHeight="1" x14ac:dyDescent="0.3">
      <c r="A20" s="2"/>
      <c r="B20" s="40" t="s">
        <v>13</v>
      </c>
      <c r="C20" s="266" t="s">
        <v>155</v>
      </c>
      <c r="D20" s="266"/>
      <c r="E20" s="90">
        <f>PERC_ADIC_FERIAS</f>
        <v>2.7777777777777777</v>
      </c>
      <c r="F20" s="143">
        <f>PERC_ADIC_FERIAS%*MOD_1_REMUNERACAO_44H</f>
        <v>44.487499999999997</v>
      </c>
      <c r="G20" s="144">
        <f>PERC_ADIC_FERIAS%*MOD_1_REMUNERACAO_44H2</f>
        <v>66.730953416666651</v>
      </c>
      <c r="H20" s="145">
        <f>PERC_ADIC_FERIAS%*MOD_1_REMUNERACAO_44H3</f>
        <v>44.487499999999997</v>
      </c>
    </row>
    <row r="21" spans="1:8" ht="16.5" customHeight="1" x14ac:dyDescent="0.3">
      <c r="A21" s="48"/>
      <c r="B21" s="272" t="s">
        <v>167</v>
      </c>
      <c r="C21" s="272"/>
      <c r="D21" s="272"/>
      <c r="E21" s="272"/>
      <c r="F21" s="112">
        <f>SUM(F19:F20)</f>
        <v>177.95</v>
      </c>
      <c r="G21" s="112">
        <f>SUM(G19:G20)</f>
        <v>266.92381366666655</v>
      </c>
      <c r="H21" s="112">
        <f>SUM(H19:H20)</f>
        <v>177.95</v>
      </c>
    </row>
    <row r="22" spans="1:8" ht="31.5" customHeight="1" x14ac:dyDescent="0.3">
      <c r="A22" s="48"/>
      <c r="B22" s="271" t="s">
        <v>157</v>
      </c>
      <c r="C22" s="271"/>
      <c r="D22" s="271"/>
      <c r="E22" s="271"/>
      <c r="F22" s="271"/>
      <c r="G22" s="146"/>
      <c r="H22" s="147"/>
    </row>
    <row r="23" spans="1:8" ht="34.5" customHeight="1" x14ac:dyDescent="0.3">
      <c r="A23" s="48"/>
      <c r="B23" s="5" t="s">
        <v>60</v>
      </c>
      <c r="C23" s="277" t="s">
        <v>158</v>
      </c>
      <c r="D23" s="277"/>
      <c r="E23" s="40" t="s">
        <v>90</v>
      </c>
      <c r="F23" s="40" t="s">
        <v>97</v>
      </c>
      <c r="G23" s="40" t="s">
        <v>97</v>
      </c>
      <c r="H23" s="40" t="s">
        <v>97</v>
      </c>
    </row>
    <row r="24" spans="1:8" ht="16.5" customHeight="1" x14ac:dyDescent="0.3">
      <c r="A24" s="2"/>
      <c r="B24" s="5" t="s">
        <v>11</v>
      </c>
      <c r="C24" s="267" t="s">
        <v>159</v>
      </c>
      <c r="D24" s="267"/>
      <c r="E24" s="89">
        <f>PERC_INSS</f>
        <v>20</v>
      </c>
      <c r="F24" s="143">
        <f>PERC_INSS%*(MOD_1_REMUNERACAO_44H+SUBMOD_2_1_DEC_TERC_ADIC_FERIAS_44H)</f>
        <v>355.90000000000003</v>
      </c>
      <c r="G24" s="144">
        <f>PERC_INSS%*(MOD_1_REMUNERACAO_44H2+SUBMOD_2_1_DEC_TERC_ADIC_FERIAS_44H2)</f>
        <v>533.84762733333321</v>
      </c>
      <c r="H24" s="145">
        <f>PERC_INSS%*(MOD_1_REMUNERACAO_44H3+SUBMOD_2_1_DEC_TERC_ADIC_FERIAS_44H3)</f>
        <v>355.90000000000003</v>
      </c>
    </row>
    <row r="25" spans="1:8" ht="16.5" customHeight="1" x14ac:dyDescent="0.25">
      <c r="A25" s="3"/>
      <c r="B25" s="40" t="s">
        <v>13</v>
      </c>
      <c r="C25" s="266" t="s">
        <v>160</v>
      </c>
      <c r="D25" s="266"/>
      <c r="E25" s="91">
        <f>PERC_SAL_EDUCACAO</f>
        <v>2.5</v>
      </c>
      <c r="F25" s="143">
        <f>PERC_SAL_EDUCACAO%*(MOD_1_REMUNERACAO_44H+SUBMOD_2_1_DEC_TERC_ADIC_FERIAS_44H)</f>
        <v>44.487500000000004</v>
      </c>
      <c r="G25" s="144">
        <f>PERC_SAL_EDUCACAO%*(MOD_1_REMUNERACAO_44H2+SUBMOD_2_1_DEC_TERC_ADIC_FERIAS_44H2)</f>
        <v>66.730953416666651</v>
      </c>
      <c r="H25" s="145">
        <f>PERC_SAL_EDUCACAO%*(MOD_1_REMUNERACAO_44H3+SUBMOD_2_1_DEC_TERC_ADIC_FERIAS_44H3)</f>
        <v>44.487500000000004</v>
      </c>
    </row>
    <row r="26" spans="1:8" ht="16.5" customHeight="1" x14ac:dyDescent="0.25">
      <c r="A26" s="3"/>
      <c r="B26" s="40" t="s">
        <v>15</v>
      </c>
      <c r="C26" s="267" t="s">
        <v>161</v>
      </c>
      <c r="D26" s="267"/>
      <c r="E26" s="89">
        <f>PERC_RAT</f>
        <v>3</v>
      </c>
      <c r="F26" s="143">
        <f>PERC_RAT%*(MOD_1_REMUNERACAO_44H+SUBMOD_2_1_DEC_TERC_ADIC_FERIAS_44H)</f>
        <v>53.384999999999998</v>
      </c>
      <c r="G26" s="144">
        <f>PERC_RAT%*(MOD_1_REMUNERACAO_44H2+SUBMOD_2_1_DEC_TERC_ADIC_FERIAS_44H2)</f>
        <v>80.07714409999997</v>
      </c>
      <c r="H26" s="145">
        <f>PERC_RAT%*(MOD_1_REMUNERACAO_44H3+SUBMOD_2_1_DEC_TERC_ADIC_FERIAS_44H3)</f>
        <v>53.384999999999998</v>
      </c>
    </row>
    <row r="27" spans="1:8" ht="16.5" customHeight="1" x14ac:dyDescent="0.25">
      <c r="A27" s="3"/>
      <c r="B27" s="40" t="s">
        <v>17</v>
      </c>
      <c r="C27" s="266" t="s">
        <v>162</v>
      </c>
      <c r="D27" s="266"/>
      <c r="E27" s="90">
        <f>PERC_SESC</f>
        <v>1.5</v>
      </c>
      <c r="F27" s="143">
        <f>PERC_SESC%*(MOD_1_REMUNERACAO_44H+SUBMOD_2_1_DEC_TERC_ADIC_FERIAS_44H)</f>
        <v>26.692499999999999</v>
      </c>
      <c r="G27" s="144">
        <f>PERC_SESC%*(MOD_1_REMUNERACAO_44H2+SUBMOD_2_1_DEC_TERC_ADIC_FERIAS_44H2)</f>
        <v>40.038572049999985</v>
      </c>
      <c r="H27" s="145">
        <f>PERC_SESC%*(MOD_1_REMUNERACAO_44H3+SUBMOD_2_1_DEC_TERC_ADIC_FERIAS_44H3)</f>
        <v>26.692499999999999</v>
      </c>
    </row>
    <row r="28" spans="1:8" ht="16.5" customHeight="1" x14ac:dyDescent="0.25">
      <c r="A28" s="3"/>
      <c r="B28" s="40" t="s">
        <v>19</v>
      </c>
      <c r="C28" s="267" t="s">
        <v>163</v>
      </c>
      <c r="D28" s="267"/>
      <c r="E28" s="89">
        <f>PERC_SENAC</f>
        <v>1</v>
      </c>
      <c r="F28" s="143">
        <f>PERC_SENAC%*(MOD_1_REMUNERACAO_44H+SUBMOD_2_1_DEC_TERC_ADIC_FERIAS_44H)</f>
        <v>17.795000000000002</v>
      </c>
      <c r="G28" s="144">
        <f>PERC_SENAC%*(MOD_1_REMUNERACAO_44H2+SUBMOD_2_1_DEC_TERC_ADIC_FERIAS_44H2)</f>
        <v>26.692381366666659</v>
      </c>
      <c r="H28" s="145">
        <f>PERC_SENAC%*(MOD_1_REMUNERACAO_44H3+SUBMOD_2_1_DEC_TERC_ADIC_FERIAS_44H3)</f>
        <v>17.795000000000002</v>
      </c>
    </row>
    <row r="29" spans="1:8" ht="16.5" customHeight="1" x14ac:dyDescent="0.25">
      <c r="A29" s="3"/>
      <c r="B29" s="40" t="s">
        <v>54</v>
      </c>
      <c r="C29" s="266" t="s">
        <v>164</v>
      </c>
      <c r="D29" s="266"/>
      <c r="E29" s="91">
        <f>PERC_SEBRAE</f>
        <v>0.6</v>
      </c>
      <c r="F29" s="143">
        <f>PERC_SEBRAE%*(MOD_1_REMUNERACAO_44H+SUBMOD_2_1_DEC_TERC_ADIC_FERIAS_44H)</f>
        <v>10.677</v>
      </c>
      <c r="G29" s="144">
        <f>PERC_SEBRAE%*(MOD_1_REMUNERACAO_44H2+SUBMOD_2_1_DEC_TERC_ADIC_FERIAS_44H2)</f>
        <v>16.015428819999997</v>
      </c>
      <c r="H29" s="145">
        <f>PERC_SEBRAE%*(MOD_1_REMUNERACAO_44H3+SUBMOD_2_1_DEC_TERC_ADIC_FERIAS_44H3)</f>
        <v>10.677</v>
      </c>
    </row>
    <row r="30" spans="1:8" ht="16.5" customHeight="1" x14ac:dyDescent="0.25">
      <c r="A30" s="3"/>
      <c r="B30" s="40" t="s">
        <v>56</v>
      </c>
      <c r="C30" s="267" t="s">
        <v>165</v>
      </c>
      <c r="D30" s="267"/>
      <c r="E30" s="89">
        <f>PERC_INCRA</f>
        <v>0.2</v>
      </c>
      <c r="F30" s="143">
        <f>PERC_INCRA%*(MOD_1_REMUNERACAO_44H+SUBMOD_2_1_DEC_TERC_ADIC_FERIAS_44H)</f>
        <v>3.5590000000000002</v>
      </c>
      <c r="G30" s="144">
        <f>PERC_INCRA%*(MOD_1_REMUNERACAO_44H2+SUBMOD_2_1_DEC_TERC_ADIC_FERIAS_44H2)</f>
        <v>5.338476273333332</v>
      </c>
      <c r="H30" s="145">
        <f>PERC_INCRA%*(MOD_1_REMUNERACAO_44H3+SUBMOD_2_1_DEC_TERC_ADIC_FERIAS_44H3)</f>
        <v>3.5590000000000002</v>
      </c>
    </row>
    <row r="31" spans="1:8" ht="16.5" customHeight="1" x14ac:dyDescent="0.3">
      <c r="A31" s="2"/>
      <c r="B31" s="40" t="s">
        <v>146</v>
      </c>
      <c r="C31" s="266" t="s">
        <v>166</v>
      </c>
      <c r="D31" s="266"/>
      <c r="E31" s="91">
        <f>PERC_FGTS</f>
        <v>8</v>
      </c>
      <c r="F31" s="143">
        <f>PERC_FGTS%*(MOD_1_REMUNERACAO_44H+SUBMOD_2_1_DEC_TERC_ADIC_FERIAS_44H)</f>
        <v>142.36000000000001</v>
      </c>
      <c r="G31" s="144">
        <f>PERC_FGTS%*(MOD_1_REMUNERACAO_44H2+SUBMOD_2_1_DEC_TERC_ADIC_FERIAS_44H2)</f>
        <v>213.53905093333327</v>
      </c>
      <c r="H31" s="145">
        <f>PERC_FGTS%*(MOD_1_REMUNERACAO_44H3+SUBMOD_2_1_DEC_TERC_ADIC_FERIAS_44H3)</f>
        <v>142.36000000000001</v>
      </c>
    </row>
    <row r="32" spans="1:8" ht="16.5" customHeight="1" x14ac:dyDescent="0.3">
      <c r="A32" s="2"/>
      <c r="B32" s="277" t="s">
        <v>167</v>
      </c>
      <c r="C32" s="277"/>
      <c r="D32" s="277"/>
      <c r="E32" s="277"/>
      <c r="F32" s="113">
        <f>SUM(F24:F31)</f>
        <v>654.85600000000011</v>
      </c>
      <c r="G32" s="113">
        <f>SUM(G24:G31)</f>
        <v>982.27963429333295</v>
      </c>
      <c r="H32" s="113">
        <f>SUM(H24:H31)</f>
        <v>654.85600000000011</v>
      </c>
    </row>
    <row r="33" spans="1:1021" ht="15.75" customHeight="1" x14ac:dyDescent="0.3">
      <c r="A33" s="2"/>
      <c r="B33" s="38" t="s">
        <v>64</v>
      </c>
      <c r="C33" s="3"/>
      <c r="D33" s="3"/>
      <c r="E33" s="3"/>
      <c r="F33" s="3"/>
      <c r="G33" s="3"/>
      <c r="H33" s="3"/>
    </row>
    <row r="34" spans="1:1021" ht="15.75" customHeight="1" x14ac:dyDescent="0.3">
      <c r="A34" s="2"/>
      <c r="B34" s="5" t="s">
        <v>65</v>
      </c>
      <c r="C34" s="277" t="s">
        <v>66</v>
      </c>
      <c r="D34" s="277"/>
      <c r="E34" s="277"/>
      <c r="F34" s="40" t="s">
        <v>97</v>
      </c>
      <c r="G34" s="40" t="s">
        <v>97</v>
      </c>
      <c r="H34" s="40" t="s">
        <v>97</v>
      </c>
    </row>
    <row r="35" spans="1:1021" ht="16.5" customHeight="1" x14ac:dyDescent="0.3">
      <c r="A35" s="2"/>
      <c r="B35" s="148" t="s">
        <v>11</v>
      </c>
      <c r="C35" s="322" t="s">
        <v>204</v>
      </c>
      <c r="D35" s="322"/>
      <c r="E35" s="322"/>
      <c r="F35" s="149">
        <f>IF(((TRANSPORTE_POR_DIA*DIAS_UTEIS_TRABALHADOS_NO_MES_44HORAS)-(PERC_DESC_TRANSP_REMUNERACAO%*(AL_1_A_SAL_BASE_44H)))&gt;0,((TRANSPORTE_POR_DIA*DIAS_UTEIS_TRABALHADOS_NO_MES_44HORAS)-(PERC_DESC_TRANSP_REMUNERACAO%*(AL_1_A_SAL_BASE_44H))),0)</f>
        <v>84.507000000000005</v>
      </c>
      <c r="G35" s="150">
        <f>IF(((TRANSPORTE_POR_DIA2*DIAS_UTEIS_TRABALHADOS_NO_MES_44HORAS)-(PERC_DESC_TRANSP_REMUNERACAO%*(AL_1_A_SAL_BASE_44H2)))&gt;0,((TRANSPORTE_POR_DIA2*DIAS_UTEIS_TRABALHADOS_NO_MES_44HORAS)-(PERC_DESC_TRANSP_REMUNERACAO%*(AL_1_A_SAL_BASE_44H2))),0)</f>
        <v>36.461140620000037</v>
      </c>
      <c r="H35" s="151">
        <f>IF(((TRANSPORTE_POR_DIA3*DIAS_UTEIS_TRABALHADOS_NO_MES_44HORAS)-(PERC_DESC_TRANSP_REMUNERACAO%*(AL_1_A_SAL_BASE_44H3)))&gt;0,((TRANSPORTE_POR_DIA*DIAS_UTEIS_TRABALHADOS_NO_MES_44HORAS)-(PERC_DESC_TRANSP_REMUNERACAO%*(AL_1_A_SAL_BASE_44H3))),0)</f>
        <v>84.507000000000005</v>
      </c>
    </row>
    <row r="36" spans="1:1021" s="156" customFormat="1" ht="16.5" customHeight="1" x14ac:dyDescent="0.3">
      <c r="A36" s="54"/>
      <c r="B36" s="152" t="s">
        <v>13</v>
      </c>
      <c r="C36" s="323" t="s">
        <v>317</v>
      </c>
      <c r="D36" s="323"/>
      <c r="E36" s="323"/>
      <c r="F36" s="153">
        <f>IF(AND(ADESAO_AO_PAT="Sim",PERC_PAT&lt;&gt;""),ALIMENTACAO_POR_DIA*DIAS_UTEIS_TRABALHADOS_NO_MES_44HORAS*(100-PERC_PAT)%,IF(AND(ADESAO_AO_PAT="Sim",PERC_PAT=""),"Insira o % do PAT",ALIMENTACAO_POR_DIA*DIAS_UTEIS_TRABALHADOS_NO_MES_44HORAS))*(1-11%)</f>
        <v>467.25</v>
      </c>
      <c r="G36" s="154">
        <f>IF(AND(ADESAO_AO_PAT="Sim",PERC_PAT&lt;&gt;""),ALIMENTACAO_POR_DIA2*DIAS_UTEIS_TRABALHADOS_NO_MES_44HORAS*(100-PERC_PAT)%,IF(AND(ADESAO_AO_PAT="Sim",PERC_PAT=""),"Insira o % do PAT",ALIMENTACAO_POR_DIA*DIAS_UTEIS_TRABALHADOS_NO_MES_44HORAS))*(1-11%)</f>
        <v>467.25</v>
      </c>
      <c r="H36" s="155">
        <f>IF(AND(ADESAO_AO_PAT="Sim",PERC_PAT&lt;&gt;""),ALIMENTACAO_POR_DIA3*DIAS_UTEIS_TRABALHADOS_NO_MES_44HORAS*(100-PERC_PAT)%,IF(AND(ADESAO_AO_PAT="Sim",PERC_PAT=""),"Insira o % do PAT",ALIMENTACAO_POR_DIA*DIAS_UTEIS_TRABALHADOS_NO_MES_44HORAS))*(1-11%)</f>
        <v>467.25</v>
      </c>
      <c r="ALD36" s="157"/>
      <c r="ALE36" s="157"/>
      <c r="ALF36" s="157"/>
      <c r="ALG36" s="157"/>
      <c r="ALH36" s="157"/>
      <c r="ALI36" s="157"/>
      <c r="ALJ36" s="157"/>
      <c r="ALK36" s="157"/>
      <c r="ALL36" s="157"/>
      <c r="ALM36" s="157"/>
      <c r="ALN36" s="157"/>
      <c r="ALO36" s="157"/>
      <c r="ALP36" s="157"/>
      <c r="ALQ36" s="157"/>
      <c r="ALR36" s="157"/>
      <c r="ALS36" s="157"/>
      <c r="ALT36" s="157"/>
      <c r="ALU36" s="157"/>
      <c r="ALV36" s="157"/>
      <c r="ALW36" s="157"/>
      <c r="ALX36" s="157"/>
      <c r="ALY36" s="157"/>
      <c r="ALZ36" s="157"/>
      <c r="AMA36" s="157"/>
      <c r="AMB36" s="157"/>
      <c r="AMC36" s="157"/>
      <c r="AMD36" s="157"/>
      <c r="AME36" s="157"/>
      <c r="AMF36" s="157"/>
      <c r="AMG36" s="157"/>
    </row>
    <row r="37" spans="1:1021" ht="16.5" customHeight="1" x14ac:dyDescent="0.3">
      <c r="A37" s="48"/>
      <c r="B37" s="158" t="s">
        <v>15</v>
      </c>
      <c r="C37" s="324" t="str">
        <f>OUTROS_BENEFICIOS_1_DESCRICAO</f>
        <v>Amparo Familiar</v>
      </c>
      <c r="D37" s="324"/>
      <c r="E37" s="324"/>
      <c r="F37" s="159">
        <f>OUTROS_BENEFICIOS_1</f>
        <v>16</v>
      </c>
      <c r="G37" s="160">
        <f>OUTROS_BENEFICIOS_12</f>
        <v>16</v>
      </c>
      <c r="H37" s="161">
        <f>OUTROS_BENEFICIOS_13</f>
        <v>16</v>
      </c>
    </row>
    <row r="38" spans="1:1021" ht="16.5" customHeight="1" x14ac:dyDescent="0.3">
      <c r="A38" s="48"/>
      <c r="B38" s="4" t="s">
        <v>17</v>
      </c>
      <c r="C38" s="283" t="str">
        <f>OUTROS_BENEFICIOS_2_DESCRICAO</f>
        <v>Cota de Aprendizagem</v>
      </c>
      <c r="D38" s="283"/>
      <c r="E38" s="283"/>
      <c r="F38" s="143">
        <f>OUTROS_BENEFICIOS_2</f>
        <v>72.37</v>
      </c>
      <c r="G38" s="144">
        <f>OUTROS_BENEFICIOS_22</f>
        <v>72.37</v>
      </c>
      <c r="H38" s="145">
        <f>OUTROS_BENEFICIOS_23</f>
        <v>72.37</v>
      </c>
    </row>
    <row r="39" spans="1:1021" ht="16.5" customHeight="1" x14ac:dyDescent="0.3">
      <c r="A39" s="48"/>
      <c r="B39" s="4" t="s">
        <v>19</v>
      </c>
      <c r="C39" s="279" t="str">
        <f>OUTROS_BENEFICIOS_3_DESCRICAO</f>
        <v>Seguro de vida</v>
      </c>
      <c r="D39" s="279"/>
      <c r="E39" s="279"/>
      <c r="F39" s="143">
        <f>OUTROS_BENEFICIOS_3</f>
        <v>4</v>
      </c>
      <c r="G39" s="144">
        <f>OUTROS_BENEFICIOS_32</f>
        <v>4</v>
      </c>
      <c r="H39" s="145">
        <f>OUTROS_BENEFICIOS_33</f>
        <v>4</v>
      </c>
    </row>
    <row r="40" spans="1:1021" ht="15" customHeight="1" x14ac:dyDescent="0.3">
      <c r="A40" s="48"/>
      <c r="B40" s="277" t="s">
        <v>167</v>
      </c>
      <c r="C40" s="277"/>
      <c r="D40" s="277"/>
      <c r="E40" s="277"/>
      <c r="F40" s="109">
        <f>SUM(F35:F39)</f>
        <v>644.12700000000007</v>
      </c>
      <c r="G40" s="109">
        <f>SUM(G35:G39)</f>
        <v>596.08114062000004</v>
      </c>
      <c r="H40" s="109">
        <f>SUM(H35:H39)</f>
        <v>644.12700000000007</v>
      </c>
    </row>
    <row r="41" spans="1:1021" ht="16.5" customHeight="1" x14ac:dyDescent="0.3">
      <c r="A41" s="48"/>
      <c r="B41" s="38" t="s">
        <v>131</v>
      </c>
      <c r="C41" s="61"/>
      <c r="D41" s="62"/>
      <c r="E41" s="63"/>
      <c r="F41" s="3"/>
      <c r="G41" s="3"/>
      <c r="H41" s="3"/>
    </row>
    <row r="42" spans="1:1021" ht="15" customHeight="1" x14ac:dyDescent="0.3">
      <c r="A42" s="48"/>
      <c r="B42" s="5">
        <v>3</v>
      </c>
      <c r="C42" s="272" t="s">
        <v>132</v>
      </c>
      <c r="D42" s="272"/>
      <c r="E42" s="40" t="s">
        <v>90</v>
      </c>
      <c r="F42" s="40" t="s">
        <v>97</v>
      </c>
      <c r="G42" s="40" t="s">
        <v>97</v>
      </c>
      <c r="H42" s="40" t="s">
        <v>97</v>
      </c>
    </row>
    <row r="43" spans="1:1021" ht="16.5" customHeight="1" x14ac:dyDescent="0.3">
      <c r="A43" s="48"/>
      <c r="B43" s="5" t="s">
        <v>11</v>
      </c>
      <c r="C43" s="282" t="s">
        <v>168</v>
      </c>
      <c r="D43" s="282"/>
      <c r="E43" s="89">
        <f>PERC_AVISO_PREVIO_IND</f>
        <v>0.29105124999999998</v>
      </c>
      <c r="F43" s="143">
        <f>PERC_AVISO_PREVIO_IND%*(MOD_1_REMUNERACAO_44H+SUBMOD_2_1_DEC_TERC_ADIC_FERIAS_44H)</f>
        <v>5.1792569937499993</v>
      </c>
      <c r="G43" s="144">
        <f>PERC_AVISO_PREVIO_IND%*(MOD_1_REMUNERACAO_44H2+SUBMOD_2_1_DEC_TERC_ADIC_FERIAS_44H2)</f>
        <v>7.7688509622450388</v>
      </c>
      <c r="H43" s="145">
        <f>PERC_AVISO_PREVIO_IND%*(MOD_1_REMUNERACAO_44H3+SUBMOD_2_1_DEC_TERC_ADIC_FERIAS_44H3)</f>
        <v>5.1792569937499993</v>
      </c>
    </row>
    <row r="44" spans="1:1021" ht="16.5" customHeight="1" x14ac:dyDescent="0.3">
      <c r="A44" s="48"/>
      <c r="B44" s="40" t="s">
        <v>13</v>
      </c>
      <c r="C44" s="286" t="s">
        <v>170</v>
      </c>
      <c r="D44" s="286"/>
      <c r="E44" s="91">
        <f>INCID_FGTS_SOBRE_API</f>
        <v>2.3284099999999999E-2</v>
      </c>
      <c r="F44" s="143">
        <f>INCID_FGTS_SOBRE_API%*(MOD_1_REMUNERACAO_44H+SUBMOD_2_1_DEC_TERC_ADIC_FERIAS_44H)</f>
        <v>0.41434055949999998</v>
      </c>
      <c r="G44" s="144">
        <f>INCID_FGTS_SOBRE_API%*(MOD_1_REMUNERACAO_44H2+SUBMOD_2_1_DEC_TERC_ADIC_FERIAS_44H2)</f>
        <v>0.62150807697960309</v>
      </c>
      <c r="H44" s="145">
        <f>INCID_FGTS_SOBRE_API%*(MOD_1_REMUNERACAO_44H3+SUBMOD_2_1_DEC_TERC_ADIC_FERIAS_44H3)</f>
        <v>0.41434055949999998</v>
      </c>
    </row>
    <row r="45" spans="1:1021" ht="16.5" customHeight="1" x14ac:dyDescent="0.25">
      <c r="A45" s="3"/>
      <c r="B45" s="40" t="s">
        <v>15</v>
      </c>
      <c r="C45" s="282" t="s">
        <v>172</v>
      </c>
      <c r="D45" s="282"/>
      <c r="E45" s="89">
        <f>PERC_MULTA_FGTS_AV_PREV_IND</f>
        <v>0.11176368</v>
      </c>
      <c r="F45" s="143">
        <f>PERC_MULTA_FGTS_AV_PREV_IND%*(MOD_1_REMUNERACAO_44H+SUBMOD_2_1_DEC_TERC_ADIC_FERIAS_44H)</f>
        <v>1.9888346856000001</v>
      </c>
      <c r="G45" s="144">
        <f>PERC_MULTA_FGTS_AV_PREV_IND%*(MOD_1_REMUNERACAO_44H2+SUBMOD_2_1_DEC_TERC_ADIC_FERIAS_44H2)</f>
        <v>2.9832387695020954</v>
      </c>
      <c r="H45" s="145">
        <f>PERC_MULTA_FGTS_AV_PREV_IND%*(MOD_1_REMUNERACAO_44H3+SUBMOD_2_1_DEC_TERC_ADIC_FERIAS_44H3)</f>
        <v>1.9888346856000001</v>
      </c>
    </row>
    <row r="46" spans="1:1021" ht="16.5" customHeight="1" x14ac:dyDescent="0.25">
      <c r="A46" s="3"/>
      <c r="B46" s="40" t="s">
        <v>17</v>
      </c>
      <c r="C46" s="286" t="s">
        <v>174</v>
      </c>
      <c r="D46" s="286"/>
      <c r="E46" s="91">
        <f>PERC_AVISO_PREVIO_TRAB</f>
        <v>1.1557269305555555</v>
      </c>
      <c r="F46" s="143">
        <f>PERC_AVISO_PREVIO_TRAB%*(MOD_1_REMUNERACAO_44H+SUBMOD_2_1_DEC_TERC_ADIC_FERIAS_44H)</f>
        <v>20.56616072923611</v>
      </c>
      <c r="G46" s="144">
        <f>PERC_AVISO_PREVIO_TRAB%*(MOD_1_REMUNERACAO_44H2+SUBMOD_2_1_DEC_TERC_ADIC_FERIAS_44H2)</f>
        <v>30.849103986115963</v>
      </c>
      <c r="H46" s="145">
        <f>PERC_AVISO_PREVIO_TRAB%*(MOD_1_REMUNERACAO_44H3+SUBMOD_2_1_DEC_TERC_ADIC_FERIAS_44H3)</f>
        <v>20.56616072923611</v>
      </c>
    </row>
    <row r="47" spans="1:1021" ht="16.5" customHeight="1" x14ac:dyDescent="0.25">
      <c r="A47" s="3"/>
      <c r="B47" s="40" t="s">
        <v>19</v>
      </c>
      <c r="C47" s="282" t="s">
        <v>176</v>
      </c>
      <c r="D47" s="282"/>
      <c r="E47" s="89">
        <f>INCID_SUBMOD_2_2_APT</f>
        <v>0.42530751044444437</v>
      </c>
      <c r="F47" s="143">
        <f>INCID_SUBMOD_2_2_APT%*(MOD_1_REMUNERACAO_44H+SUBMOD_2_1_DEC_TERC_ADIC_FERIAS_44H)</f>
        <v>7.568347148358888</v>
      </c>
      <c r="G47" s="144">
        <f>INCID_SUBMOD_2_2_APT%*(MOD_1_REMUNERACAO_44H2+SUBMOD_2_1_DEC_TERC_ADIC_FERIAS_44H2)</f>
        <v>11.352470266890673</v>
      </c>
      <c r="H47" s="145">
        <f>INCID_SUBMOD_2_2_APT%*(MOD_1_REMUNERACAO_44H3+SUBMOD_2_1_DEC_TERC_ADIC_FERIAS_44H3)</f>
        <v>7.568347148358888</v>
      </c>
    </row>
    <row r="48" spans="1:1021" ht="16.5" customHeight="1" x14ac:dyDescent="0.25">
      <c r="A48" s="3"/>
      <c r="B48" s="40" t="s">
        <v>54</v>
      </c>
      <c r="C48" s="286" t="s">
        <v>178</v>
      </c>
      <c r="D48" s="286"/>
      <c r="E48" s="91">
        <f>PERC_MULTA_FGTS_AV_PREV_TRAB</f>
        <v>1.9019963200000001</v>
      </c>
      <c r="F48" s="143">
        <f>PERC_MULTA_FGTS_AV_PREV_TRAB%*(MOD_1_REMUNERACAO_44H+SUBMOD_2_1_DEC_TERC_ADIC_FERIAS_44H)</f>
        <v>33.8460245144</v>
      </c>
      <c r="G48" s="144">
        <f>PERC_MULTA_FGTS_AV_PREV_TRAB%*(MOD_1_REMUNERACAO_44H2+SUBMOD_2_1_DEC_TERC_ADIC_FERIAS_44H2)</f>
        <v>50.768811131436557</v>
      </c>
      <c r="H48" s="145">
        <f>PERC_MULTA_FGTS_AV_PREV_TRAB%*(MOD_1_REMUNERACAO_44H3+SUBMOD_2_1_DEC_TERC_ADIC_FERIAS_44H3)</f>
        <v>33.8460245144</v>
      </c>
    </row>
    <row r="49" spans="1:8" ht="16.5" customHeight="1" x14ac:dyDescent="0.3">
      <c r="A49" s="3"/>
      <c r="B49" s="272" t="s">
        <v>167</v>
      </c>
      <c r="C49" s="272"/>
      <c r="D49" s="272"/>
      <c r="E49" s="272"/>
      <c r="F49" s="112">
        <f>SUM(F43:F48)</f>
        <v>69.562964630844988</v>
      </c>
      <c r="G49" s="112">
        <f>SUM(G43:G48)</f>
        <v>104.34398319316992</v>
      </c>
      <c r="H49" s="112">
        <f>SUM(H43:H48)</f>
        <v>69.562964630844988</v>
      </c>
    </row>
    <row r="50" spans="1:8" ht="7.5" customHeight="1" x14ac:dyDescent="0.3">
      <c r="A50" s="2"/>
      <c r="B50" s="114"/>
      <c r="C50" s="2"/>
      <c r="D50" s="27"/>
      <c r="E50" s="39"/>
      <c r="F50" s="3"/>
      <c r="G50" s="3"/>
      <c r="H50" s="3"/>
    </row>
    <row r="51" spans="1:8" ht="15.75" customHeight="1" x14ac:dyDescent="0.3">
      <c r="A51" s="3"/>
      <c r="B51" s="38" t="s">
        <v>86</v>
      </c>
      <c r="C51" s="61"/>
      <c r="D51" s="62"/>
      <c r="E51" s="2"/>
      <c r="F51" s="3"/>
      <c r="G51" s="3"/>
      <c r="H51" s="3"/>
    </row>
    <row r="52" spans="1:8" ht="15.75" customHeight="1" x14ac:dyDescent="0.3">
      <c r="A52" s="3"/>
      <c r="B52" s="38" t="s">
        <v>87</v>
      </c>
      <c r="C52" s="61"/>
      <c r="D52" s="62"/>
      <c r="E52" s="63"/>
      <c r="F52" s="3"/>
      <c r="G52" s="3"/>
      <c r="H52" s="3"/>
    </row>
    <row r="53" spans="1:8" ht="16.5" customHeight="1" x14ac:dyDescent="0.25">
      <c r="A53" s="3"/>
      <c r="B53" s="5" t="s">
        <v>88</v>
      </c>
      <c r="C53" s="277" t="s">
        <v>89</v>
      </c>
      <c r="D53" s="277"/>
      <c r="E53" s="40" t="s">
        <v>90</v>
      </c>
      <c r="F53" s="40" t="s">
        <v>97</v>
      </c>
      <c r="G53" s="40" t="s">
        <v>97</v>
      </c>
      <c r="H53" s="40" t="s">
        <v>97</v>
      </c>
    </row>
    <row r="54" spans="1:8" ht="15.75" customHeight="1" x14ac:dyDescent="0.25">
      <c r="A54" s="3"/>
      <c r="B54" s="40" t="s">
        <v>11</v>
      </c>
      <c r="C54" s="267" t="s">
        <v>180</v>
      </c>
      <c r="D54" s="267"/>
      <c r="E54" s="89">
        <f>PERC_SUBSTITUTO_FERIAS</f>
        <v>8.3333333333333321</v>
      </c>
      <c r="F54" s="143">
        <f>PERC_SUBSTITUTO_FERIAS%*(MOD_1_REMUNERACAO_44H+MOD_2_ENCARGOS_BENEFICIOS_44H)</f>
        <v>256.54024999999996</v>
      </c>
      <c r="G54" s="144">
        <f>PERC_SUBSTITUTO_FERIAS%*(MOD_1_REMUNERACAO_44H2+MOD_2_ENCARGOS_BENEFICIOS_44H2)</f>
        <v>353.96657596499989</v>
      </c>
      <c r="H54" s="145">
        <f>PERC_SUBSTITUTO_FERIAS%*(MOD_1_REMUNERACAO_44H3+MOD_2_ENCARGOS_BENEFICIOS_44H3)</f>
        <v>256.54024999999996</v>
      </c>
    </row>
    <row r="55" spans="1:8" ht="15.75" customHeight="1" x14ac:dyDescent="0.25">
      <c r="A55" s="3"/>
      <c r="B55" s="40" t="s">
        <v>13</v>
      </c>
      <c r="C55" s="266" t="s">
        <v>182</v>
      </c>
      <c r="D55" s="266"/>
      <c r="E55" s="91">
        <f>PERC_SUBSTITUTO_AUSENCIAS_LEGAIS</f>
        <v>2.2222222222222223</v>
      </c>
      <c r="F55" s="143">
        <f>PERC_SUBSTITUTO_AUSENCIAS_LEGAIS%*(MOD_1_REMUNERACAO_44H+MOD_2_ENCARGOS_BENEFICIOS_44H)</f>
        <v>68.41073333333334</v>
      </c>
      <c r="G55" s="144">
        <f>PERC_SUBSTITUTO_AUSENCIAS_LEGAIS%*(MOD_1_REMUNERACAO_44H2+MOD_2_ENCARGOS_BENEFICIOS_44H2)</f>
        <v>94.391086923999993</v>
      </c>
      <c r="H55" s="145">
        <f>PERC_SUBSTITUTO_AUSENCIAS_LEGAIS%*(MOD_1_REMUNERACAO_44H3+MOD_2_ENCARGOS_BENEFICIOS_44H3)</f>
        <v>68.41073333333334</v>
      </c>
    </row>
    <row r="56" spans="1:8" ht="15.75" customHeight="1" x14ac:dyDescent="0.25">
      <c r="A56" s="3"/>
      <c r="B56" s="40" t="s">
        <v>15</v>
      </c>
      <c r="C56" s="267" t="s">
        <v>184</v>
      </c>
      <c r="D56" s="267"/>
      <c r="E56" s="89">
        <f>PERC_SUBSTITUTO_LICENCA_PATERNIDADE</f>
        <v>1.7051833333333329E-2</v>
      </c>
      <c r="F56" s="143">
        <f>PERC_SUBSTITUTO_LICENCA_PATERNIDADE%*(MOD_1_REMUNERACAO_44H+MOD_2_ENCARGOS_BENEFICIOS_44H)</f>
        <v>0.52493779035499988</v>
      </c>
      <c r="G56" s="144">
        <f>PERC_SUBSTITUTO_LICENCA_PATERNIDADE%*(MOD_1_REMUNERACAO_44H2+MOD_2_ENCARGOS_BENEFICIOS_44H2)</f>
        <v>0.72429348707110197</v>
      </c>
      <c r="H56" s="145">
        <f>PERC_SUBSTITUTO_LICENCA_PATERNIDADE%*(MOD_1_REMUNERACAO_44H3+MOD_2_ENCARGOS_BENEFICIOS_44H3)</f>
        <v>0.52493779035499988</v>
      </c>
    </row>
    <row r="57" spans="1:8" ht="16.5" customHeight="1" x14ac:dyDescent="0.25">
      <c r="A57" s="3"/>
      <c r="B57" s="40" t="s">
        <v>17</v>
      </c>
      <c r="C57" s="266" t="s">
        <v>186</v>
      </c>
      <c r="D57" s="266"/>
      <c r="E57" s="91">
        <f>PERC_SUBSTITUTO_ACID_TRAB</f>
        <v>1.85302229372558E-2</v>
      </c>
      <c r="F57" s="143">
        <f>PERC_SUBSTITUTO_ACID_TRAB%*(MOD_1_REMUNERACAO_44H+MOD_2_ENCARGOS_BENEFICIOS_44H)</f>
        <v>0.57044976298552041</v>
      </c>
      <c r="G57" s="144">
        <f>PERC_SUBSTITUTO_ACID_TRAB%*(MOD_1_REMUNERACAO_44H2+MOD_2_ENCARGOS_BENEFICIOS_44H2)</f>
        <v>0.78708954779622464</v>
      </c>
      <c r="H57" s="145">
        <f>PERC_SUBSTITUTO_ACID_TRAB%*(MOD_1_REMUNERACAO_44H3+MOD_2_ENCARGOS_BENEFICIOS_44H3)</f>
        <v>0.57044976298552041</v>
      </c>
    </row>
    <row r="58" spans="1:8" ht="16.5" customHeight="1" x14ac:dyDescent="0.25">
      <c r="A58" s="3"/>
      <c r="B58" s="40" t="s">
        <v>19</v>
      </c>
      <c r="C58" s="267" t="s">
        <v>188</v>
      </c>
      <c r="D58" s="267"/>
      <c r="E58" s="89">
        <f>PERC_SUBSTITUTO_AFAST_MATERN</f>
        <v>2.3584874666666662E-2</v>
      </c>
      <c r="F58" s="143">
        <f>PERC_SUBSTITUTO_AFAST_MATERN%*(MOD_1_REMUNERACAO_44H+MOD_2_ENCARGOS_BENEFICIOS_44H)</f>
        <v>0.7260563571846399</v>
      </c>
      <c r="G58" s="144">
        <f>PERC_SUBSTITUTO_AFAST_MATERN%*(MOD_1_REMUNERACAO_44H2+MOD_2_ENCARGOS_BENEFICIOS_44H2)</f>
        <v>1.0017908796388402</v>
      </c>
      <c r="H58" s="145">
        <f>PERC_SUBSTITUTO_AFAST_MATERN%*(MOD_1_REMUNERACAO_44H3+MOD_2_ENCARGOS_BENEFICIOS_44H3)</f>
        <v>0.7260563571846399</v>
      </c>
    </row>
    <row r="59" spans="1:8" ht="16.5" customHeight="1" x14ac:dyDescent="0.25">
      <c r="A59" s="3"/>
      <c r="B59" s="40" t="s">
        <v>54</v>
      </c>
      <c r="C59" s="300" t="str">
        <f>OUTRAS_AUSENCIAS_DESCRICAO</f>
        <v>Outras Ausências (Especificar em %)</v>
      </c>
      <c r="D59" s="300"/>
      <c r="E59" s="115">
        <f>PERC_SUBSTITUTO_OUTRAS_AUSENCIAS</f>
        <v>0</v>
      </c>
      <c r="F59" s="143">
        <f>PERC_SUBSTITUTO_OUTRAS_AUSENCIAS%*(MOD_1_REMUNERACAO_44H+MOD_2_ENCARGOS_BENEFICIOS_44H)</f>
        <v>0</v>
      </c>
      <c r="G59" s="144">
        <f>PERC_SUBSTITUTO_OUTRAS_AUSENCIAS%*(MOD_1_REMUNERACAO_44H2+MOD_2_ENCARGOS_BENEFICIOS_44H2)</f>
        <v>0</v>
      </c>
      <c r="H59" s="145">
        <f>PERC_SUBSTITUTO_OUTRAS_AUSENCIAS%*(MOD_1_REMUNERACAO_44H3+MOD_2_ENCARGOS_BENEFICIOS_44H3)</f>
        <v>0</v>
      </c>
    </row>
    <row r="60" spans="1:8" ht="16.5" customHeight="1" x14ac:dyDescent="0.3">
      <c r="A60" s="3"/>
      <c r="B60" s="272" t="s">
        <v>167</v>
      </c>
      <c r="C60" s="272"/>
      <c r="D60" s="272"/>
      <c r="E60" s="272"/>
      <c r="F60" s="112">
        <f>SUM(F54:F59)</f>
        <v>326.77242724385843</v>
      </c>
      <c r="G60" s="112">
        <f>SUM(G54:G59)</f>
        <v>450.87083680350605</v>
      </c>
      <c r="H60" s="112">
        <f>SUM(H54:H59)</f>
        <v>326.77242724385843</v>
      </c>
    </row>
    <row r="61" spans="1:8" ht="7.5" customHeight="1" x14ac:dyDescent="0.3">
      <c r="A61" s="2"/>
      <c r="B61" s="114"/>
      <c r="C61" s="2"/>
      <c r="D61" s="27"/>
      <c r="E61" s="39"/>
      <c r="F61" s="3"/>
      <c r="G61" s="3"/>
      <c r="H61" s="3"/>
    </row>
    <row r="62" spans="1:8" ht="16.5" customHeight="1" x14ac:dyDescent="0.3">
      <c r="A62" s="2"/>
      <c r="B62" s="38" t="s">
        <v>95</v>
      </c>
      <c r="C62" s="61"/>
      <c r="D62" s="61"/>
      <c r="E62" s="63"/>
      <c r="F62" s="3"/>
      <c r="G62" s="3"/>
      <c r="H62" s="3"/>
    </row>
    <row r="63" spans="1:8" ht="15.75" customHeight="1" x14ac:dyDescent="0.3">
      <c r="A63" s="2"/>
      <c r="B63" s="64">
        <v>5</v>
      </c>
      <c r="C63" s="273" t="s">
        <v>96</v>
      </c>
      <c r="D63" s="273"/>
      <c r="E63" s="273"/>
      <c r="F63" s="65" t="s">
        <v>97</v>
      </c>
      <c r="G63" s="65" t="s">
        <v>97</v>
      </c>
      <c r="H63" s="65" t="s">
        <v>97</v>
      </c>
    </row>
    <row r="64" spans="1:8" ht="16.5" customHeight="1" x14ac:dyDescent="0.3">
      <c r="A64" s="2"/>
      <c r="B64" s="66" t="s">
        <v>11</v>
      </c>
      <c r="C64" s="274" t="s">
        <v>98</v>
      </c>
      <c r="D64" s="274"/>
      <c r="E64" s="274"/>
      <c r="F64" s="162">
        <f>UNIFORMES</f>
        <v>84.899999999999991</v>
      </c>
      <c r="G64" s="163">
        <f>UNIFORMES2</f>
        <v>113.86</v>
      </c>
      <c r="H64" s="164">
        <f>UNIFORMES3</f>
        <v>204.29000000000002</v>
      </c>
    </row>
    <row r="65" spans="1:8" ht="16.5" customHeight="1" x14ac:dyDescent="0.3">
      <c r="A65" s="2"/>
      <c r="B65" s="66" t="s">
        <v>13</v>
      </c>
      <c r="C65" s="275" t="s">
        <v>99</v>
      </c>
      <c r="D65" s="275"/>
      <c r="E65" s="275"/>
      <c r="F65" s="162">
        <f>MATERIAIS</f>
        <v>0</v>
      </c>
      <c r="G65" s="163">
        <f>MATERIAIS2</f>
        <v>0</v>
      </c>
      <c r="H65" s="164">
        <f>MATERIAIS3</f>
        <v>0</v>
      </c>
    </row>
    <row r="66" spans="1:8" ht="16.5" customHeight="1" x14ac:dyDescent="0.3">
      <c r="A66" s="2"/>
      <c r="B66" s="66" t="s">
        <v>15</v>
      </c>
      <c r="C66" s="274" t="s">
        <v>100</v>
      </c>
      <c r="D66" s="274"/>
      <c r="E66" s="274"/>
      <c r="F66" s="162">
        <f>EQUIPAMENTOS</f>
        <v>0</v>
      </c>
      <c r="G66" s="163">
        <f>'Equipamento e EPI - Carregador'!L7</f>
        <v>3.35</v>
      </c>
      <c r="H66" s="164">
        <f>EQUIPAMENTOS3</f>
        <v>0</v>
      </c>
    </row>
    <row r="67" spans="1:8" ht="16.5" customHeight="1" x14ac:dyDescent="0.3">
      <c r="A67" s="2"/>
      <c r="B67" s="66" t="s">
        <v>17</v>
      </c>
      <c r="C67" s="305" t="s">
        <v>101</v>
      </c>
      <c r="D67" s="305"/>
      <c r="E67" s="305"/>
      <c r="F67" s="162">
        <f>OUTROS_INSUMOS</f>
        <v>0</v>
      </c>
      <c r="G67" s="163">
        <f>'Equipamento e EPI - Carregador'!G19</f>
        <v>9.2649999999999988</v>
      </c>
      <c r="H67" s="164">
        <f>OUTROS_INSUMOS3</f>
        <v>0</v>
      </c>
    </row>
    <row r="68" spans="1:8" ht="16.5" customHeight="1" x14ac:dyDescent="0.3">
      <c r="A68" s="2"/>
      <c r="B68" s="273" t="s">
        <v>167</v>
      </c>
      <c r="C68" s="273"/>
      <c r="D68" s="273"/>
      <c r="E68" s="273"/>
      <c r="F68" s="118">
        <f>SUM(F64:F67)</f>
        <v>84.899999999999991</v>
      </c>
      <c r="G68" s="118">
        <f>SUM(G64:G67)</f>
        <v>126.47499999999999</v>
      </c>
      <c r="H68" s="118">
        <f>SUM(H64:H67)</f>
        <v>204.29000000000002</v>
      </c>
    </row>
    <row r="69" spans="1:8" ht="7.5" customHeight="1" x14ac:dyDescent="0.3">
      <c r="A69" s="2"/>
      <c r="B69" s="114"/>
      <c r="C69" s="2"/>
      <c r="D69" s="27"/>
      <c r="E69" s="39"/>
      <c r="F69" s="3"/>
      <c r="G69" s="3"/>
      <c r="H69" s="3"/>
    </row>
    <row r="70" spans="1:8" ht="15" customHeight="1" x14ac:dyDescent="0.3">
      <c r="A70" s="2"/>
      <c r="B70" s="304" t="s">
        <v>102</v>
      </c>
      <c r="C70" s="304"/>
      <c r="D70" s="304"/>
      <c r="E70" s="304"/>
      <c r="F70" s="304"/>
      <c r="G70" s="3"/>
      <c r="H70" s="3"/>
    </row>
    <row r="71" spans="1:8" ht="16.5" customHeight="1" x14ac:dyDescent="0.3">
      <c r="A71" s="2"/>
      <c r="B71" s="5">
        <v>6</v>
      </c>
      <c r="C71" s="272" t="s">
        <v>103</v>
      </c>
      <c r="D71" s="272"/>
      <c r="E71" s="40" t="s">
        <v>90</v>
      </c>
      <c r="F71" s="40" t="s">
        <v>97</v>
      </c>
      <c r="G71" s="40" t="s">
        <v>97</v>
      </c>
      <c r="H71" s="40" t="s">
        <v>97</v>
      </c>
    </row>
    <row r="72" spans="1:8" ht="16.5" customHeight="1" x14ac:dyDescent="0.3">
      <c r="A72" s="2"/>
      <c r="B72" s="5" t="s">
        <v>11</v>
      </c>
      <c r="C72" s="267" t="s">
        <v>104</v>
      </c>
      <c r="D72" s="267"/>
      <c r="E72" s="119">
        <f>PERC_CUSTOS_INDIRETOS</f>
        <v>4.7300000000000004</v>
      </c>
      <c r="F72" s="143">
        <f>PERC_CUSTOS_INDIRETOS%*(MOD_1_REMUNERACAO_44H+MOD_2_ENCARGOS_BENEFICIOS_44H+MOD_3_PROVISAO_RESCISAO_44H+MOD_4_CUSTO_REPOSICAO_44H+MOD_5_INSUMOS_44H)</f>
        <v>168.3746799356735</v>
      </c>
      <c r="G72" s="144">
        <f>PERC_CUSTOS_INDIRETOS%*(MOD_1_REMUNERACAO_44H2+MOD_2_ENCARGOS_BENEFICIOS_44H2+MOD_3_PROVISAO_RESCISAO_44H2+MOD_4_CUSTO_REPOSICAO_44H2+MOD_5_INSUMOS_44H2)</f>
        <v>233.15535700357677</v>
      </c>
      <c r="H72" s="145">
        <f>PERC_CUSTOS_INDIRETOS%*(MOD_1_REMUNERACAO_44H3+MOD_2_ENCARGOS_BENEFICIOS_44H3+MOD_3_PROVISAO_RESCISAO_44H3+MOD_4_CUSTO_REPOSICAO_44H3+MOD_5_INSUMOS_44H3)</f>
        <v>174.02182693567349</v>
      </c>
    </row>
    <row r="73" spans="1:8" ht="15.75" customHeight="1" x14ac:dyDescent="0.3">
      <c r="A73" s="2"/>
      <c r="B73" s="40" t="s">
        <v>13</v>
      </c>
      <c r="C73" s="266" t="s">
        <v>105</v>
      </c>
      <c r="D73" s="266"/>
      <c r="E73" s="120">
        <f>PERC_LUCRO</f>
        <v>5.57</v>
      </c>
      <c r="F73" s="143">
        <f>PERC_LUCRO%*(MOD_1_REMUNERACAO_44H+MOD_2_ENCARGOS_BENEFICIOS_44H+MOD_3_PROVISAO_RESCISAO_44H+MOD_4_CUSTO_REPOSICAO_44H+MOD_5_INSUMOS_44H+AL_6_A_CUSTOS_INDIRETOS_44H)</f>
        <v>207.65478409983803</v>
      </c>
      <c r="G73" s="144">
        <f>PERC_LUCRO%*(MOD_1_REMUNERACAO_44H2+MOD_2_ENCARGOS_BENEFICIOS_44H2+MOD_3_PROVISAO_RESCISAO_44H2+MOD_4_CUSTO_REPOSICAO_44H2+MOD_5_INSUMOS_44H2+AL_6_A_CUSTOS_INDIRETOS_44H2)</f>
        <v>287.54813573392005</v>
      </c>
      <c r="H73" s="145">
        <f>PERC_LUCRO%*(MOD_1_REMUNERACAO_44H3+MOD_2_ENCARGOS_BENEFICIOS_44H3+MOD_3_PROVISAO_RESCISAO_44H3+MOD_4_CUSTO_REPOSICAO_44H3+MOD_5_INSUMOS_44H3+AL_6_A_CUSTOS_INDIRETOS_44H3)</f>
        <v>214.619353187738</v>
      </c>
    </row>
    <row r="74" spans="1:8" ht="16.5" customHeight="1" x14ac:dyDescent="0.3">
      <c r="A74" s="2"/>
      <c r="B74" s="40" t="s">
        <v>15</v>
      </c>
      <c r="C74" s="267" t="s">
        <v>206</v>
      </c>
      <c r="D74" s="267"/>
      <c r="E74" s="119">
        <f>SUM(E75:E77)</f>
        <v>8.65</v>
      </c>
      <c r="F74" s="143">
        <f>SUM(F75:F77)</f>
        <v>372.67891574847692</v>
      </c>
      <c r="G74" s="144">
        <f>SUM(G75:G77)</f>
        <v>516.06385046872015</v>
      </c>
      <c r="H74" s="145">
        <f>SUM(H75:H77)</f>
        <v>385.17825722806458</v>
      </c>
    </row>
    <row r="75" spans="1:8" ht="15.75" customHeight="1" x14ac:dyDescent="0.3">
      <c r="A75" s="2"/>
      <c r="B75" s="75" t="s">
        <v>106</v>
      </c>
      <c r="C75" s="302" t="s">
        <v>107</v>
      </c>
      <c r="D75" s="302"/>
      <c r="E75" s="121">
        <f>PERC_PIS</f>
        <v>0.65</v>
      </c>
      <c r="F75" s="165">
        <f>((MOD_1_REMUNERACAO_44H+MOD_2_ENCARGOS_BENEFICIOS_44H+MOD_3_PROVISAO_RESCISAO_44H+MOD_4_CUSTO_REPOSICAO_44H+MOD_5_INSUMOS_44H+AL_6_A_CUSTOS_INDIRETOS_44H+AL_6_B_LUCRO_44H)*PERC_PIS%)/(1-PERC_TRIBUTOS%)</f>
        <v>28.004774015781503</v>
      </c>
      <c r="G75" s="166">
        <f>((MOD_1_REMUNERACAO_44H2+MOD_2_ENCARGOS_BENEFICIOS_44H2+MOD_3_PROVISAO_RESCISAO_44H2+MOD_4_CUSTO_REPOSICAO_44H2+MOD_5_INSUMOS_44H2+AL_6_A_CUSTOS_INDIRETOS_44H2+AL_6_B_LUCRO_44H2)*PERC_PIS%)/(1-PERC_TRIBUTOS%)</f>
        <v>38.779364486088809</v>
      </c>
      <c r="H75" s="167">
        <f>((MOD_1_REMUNERACAO_44H3+MOD_2_ENCARGOS_BENEFICIOS_44H3+MOD_3_PROVISAO_RESCISAO_44H3+MOD_4_CUSTO_REPOSICAO_44H3+MOD_5_INSUMOS_44H3+AL_6_A_CUSTOS_INDIRETOS_44H3+AL_6_B_LUCRO_44H3)*PERC_PIS%)/(1-PERC_TRIBUTOS%)</f>
        <v>28.944030889970168</v>
      </c>
    </row>
    <row r="76" spans="1:8" ht="16.5" customHeight="1" x14ac:dyDescent="0.3">
      <c r="A76" s="2"/>
      <c r="B76" s="75" t="s">
        <v>108</v>
      </c>
      <c r="C76" s="303" t="s">
        <v>109</v>
      </c>
      <c r="D76" s="303"/>
      <c r="E76" s="123">
        <f>PERC_COFINS</f>
        <v>3</v>
      </c>
      <c r="F76" s="165">
        <f>((MOD_1_REMUNERACAO_44H+MOD_2_ENCARGOS_BENEFICIOS_44H+MOD_3_PROVISAO_RESCISAO_44H+MOD_4_CUSTO_REPOSICAO_44H+MOD_5_INSUMOS_44H+AL_6_A_CUSTOS_INDIRETOS_44H+AL_6_B_LUCRO_44H)*PERC_COFINS%)/(1-PERC_TRIBUTOS%)</f>
        <v>129.25280314976078</v>
      </c>
      <c r="G76" s="166">
        <f>((MOD_1_REMUNERACAO_44H2+MOD_2_ENCARGOS_BENEFICIOS_44H2+MOD_3_PROVISAO_RESCISAO_44H2+MOD_4_CUSTO_REPOSICAO_44H2+MOD_5_INSUMOS_44H2+AL_6_A_CUSTOS_INDIRETOS_44H2+AL_6_B_LUCRO_44H2)*PERC_COFINS%)/(1-PERC_TRIBUTOS%)</f>
        <v>178.98168224348677</v>
      </c>
      <c r="H76" s="167">
        <f>((MOD_1_REMUNERACAO_44H3+MOD_2_ENCARGOS_BENEFICIOS_44H3+MOD_3_PROVISAO_RESCISAO_44H3+MOD_4_CUSTO_REPOSICAO_44H3+MOD_5_INSUMOS_44H3+AL_6_A_CUSTOS_INDIRETOS_44H3+AL_6_B_LUCRO_44H3)*PERC_COFINS%)/(1-PERC_TRIBUTOS%)</f>
        <v>133.58783487678539</v>
      </c>
    </row>
    <row r="77" spans="1:8" ht="16.5" customHeight="1" x14ac:dyDescent="0.3">
      <c r="A77" s="70"/>
      <c r="B77" s="75" t="s">
        <v>110</v>
      </c>
      <c r="C77" s="302" t="s">
        <v>111</v>
      </c>
      <c r="D77" s="302"/>
      <c r="E77" s="121">
        <f>PERC_ISS</f>
        <v>5</v>
      </c>
      <c r="F77" s="165">
        <f>((MOD_1_REMUNERACAO_44H+MOD_2_ENCARGOS_BENEFICIOS_44H+MOD_3_PROVISAO_RESCISAO_44H+MOD_4_CUSTO_REPOSICAO_44H+MOD_5_INSUMOS_44H+AL_6_A_CUSTOS_INDIRETOS_44H+AL_6_B_LUCRO_44H)*PERC_ISS%)/(1-PERC_TRIBUTOS%)</f>
        <v>215.42133858293462</v>
      </c>
      <c r="G77" s="166">
        <f>((MOD_1_REMUNERACAO_44H2+MOD_2_ENCARGOS_BENEFICIOS_44H2+MOD_3_PROVISAO_RESCISAO_44H2+MOD_4_CUSTO_REPOSICAO_44H2+MOD_5_INSUMOS_44H2+AL_6_A_CUSTOS_INDIRETOS_44H2+AL_6_B_LUCRO_44H2)*PERC_ISS%)/(1-PERC_TRIBUTOS%)</f>
        <v>298.30280373914462</v>
      </c>
      <c r="H77" s="167">
        <f>((MOD_1_REMUNERACAO_44H3+MOD_2_ENCARGOS_BENEFICIOS_44H3+MOD_3_PROVISAO_RESCISAO_44H3+MOD_4_CUSTO_REPOSICAO_44H3+MOD_5_INSUMOS_44H3+AL_6_A_CUSTOS_INDIRETOS_44H3+AL_6_B_LUCRO_44H3)*PERC_ISS%)/(1-PERC_TRIBUTOS%)</f>
        <v>222.64639146130901</v>
      </c>
    </row>
    <row r="78" spans="1:8" ht="16.5" customHeight="1" x14ac:dyDescent="0.3">
      <c r="A78" s="70"/>
      <c r="B78" s="272" t="s">
        <v>167</v>
      </c>
      <c r="C78" s="272"/>
      <c r="D78" s="272"/>
      <c r="E78" s="272"/>
      <c r="F78" s="125">
        <f>AL_6_A_CUSTOS_INDIRETOS_44H+AL_6_B_LUCRO_44H+AL_6_C_TRIBUTOS_44H</f>
        <v>748.70837978398845</v>
      </c>
      <c r="G78" s="125">
        <f>AL_6_A_CUSTOS_INDIRETOS_44H2+AL_6_B_LUCRO_44H2+AL_6_C_TRIBUTOS_44H2</f>
        <v>1036.767343206217</v>
      </c>
      <c r="H78" s="125">
        <f>AL_6_A_CUSTOS_INDIRETOS_44H3+AL_6_B_LUCRO_44H3+AL_6_C_TRIBUTOS_44H3</f>
        <v>773.81943735147604</v>
      </c>
    </row>
    <row r="79" spans="1:8" ht="16.5" customHeight="1" x14ac:dyDescent="0.3">
      <c r="A79" s="70"/>
      <c r="B79" s="126" t="s">
        <v>207</v>
      </c>
      <c r="C79" s="79"/>
      <c r="D79" s="79"/>
      <c r="E79" s="79"/>
      <c r="F79" s="3"/>
      <c r="G79" s="3"/>
      <c r="H79" s="3"/>
    </row>
    <row r="80" spans="1:8" ht="16.5" customHeight="1" x14ac:dyDescent="0.3">
      <c r="A80" s="71"/>
      <c r="B80" s="40" t="s">
        <v>208</v>
      </c>
      <c r="C80" s="277" t="s">
        <v>209</v>
      </c>
      <c r="D80" s="277"/>
      <c r="E80" s="277"/>
      <c r="F80" s="40" t="s">
        <v>210</v>
      </c>
      <c r="G80" s="40" t="s">
        <v>210</v>
      </c>
      <c r="H80" s="40" t="s">
        <v>210</v>
      </c>
    </row>
    <row r="81" spans="1:8" ht="16.5" customHeight="1" x14ac:dyDescent="0.3">
      <c r="A81" s="70"/>
      <c r="B81" s="5">
        <v>1</v>
      </c>
      <c r="C81" s="267" t="s">
        <v>47</v>
      </c>
      <c r="D81" s="267"/>
      <c r="E81" s="267"/>
      <c r="F81" s="143">
        <f>MOD_1_REMUNERACAO_44H</f>
        <v>1601.55</v>
      </c>
      <c r="G81" s="144">
        <f>MOD_1_REMUNERACAO_44H2</f>
        <v>2402.3143229999996</v>
      </c>
      <c r="H81" s="145">
        <f>MOD_1_REMUNERACAO_44H3</f>
        <v>1601.55</v>
      </c>
    </row>
    <row r="82" spans="1:8" ht="16.5" customHeight="1" x14ac:dyDescent="0.3">
      <c r="A82" s="128"/>
      <c r="B82" s="40">
        <v>2</v>
      </c>
      <c r="C82" s="266" t="s">
        <v>211</v>
      </c>
      <c r="D82" s="266"/>
      <c r="E82" s="266"/>
      <c r="F82" s="143">
        <f>MOD_2_ENCARGOS_BENEFICIOS_44H</f>
        <v>1476.933</v>
      </c>
      <c r="G82" s="144">
        <f>MOD_2_ENCARGOS_BENEFICIOS_44H2</f>
        <v>1845.2845885799995</v>
      </c>
      <c r="H82" s="145">
        <f>MOD_2_ENCARGOS_BENEFICIOS_44H3</f>
        <v>1476.933</v>
      </c>
    </row>
    <row r="83" spans="1:8" ht="16.5" customHeight="1" x14ac:dyDescent="0.3">
      <c r="A83" s="128"/>
      <c r="B83" s="40">
        <v>3</v>
      </c>
      <c r="C83" s="267" t="s">
        <v>132</v>
      </c>
      <c r="D83" s="267"/>
      <c r="E83" s="267"/>
      <c r="F83" s="143">
        <f>MOD_3_PROVISAO_RESCISAO_44H</f>
        <v>69.562964630844988</v>
      </c>
      <c r="G83" s="144">
        <f>MOD_3_PROVISAO_RESCISAO_44H2</f>
        <v>104.34398319316992</v>
      </c>
      <c r="H83" s="145">
        <f>MOD_3_PROVISAO_RESCISAO_44H3</f>
        <v>69.562964630844988</v>
      </c>
    </row>
    <row r="84" spans="1:8" ht="16.5" customHeight="1" x14ac:dyDescent="0.3">
      <c r="A84" s="128"/>
      <c r="B84" s="40">
        <v>4</v>
      </c>
      <c r="C84" s="266" t="s">
        <v>212</v>
      </c>
      <c r="D84" s="266"/>
      <c r="E84" s="266"/>
      <c r="F84" s="143">
        <f>MOD_4_CUSTO_REPOSICAO_44H</f>
        <v>326.77242724385843</v>
      </c>
      <c r="G84" s="144">
        <f>MOD_4_CUSTO_REPOSICAO_44H2</f>
        <v>450.87083680350605</v>
      </c>
      <c r="H84" s="145">
        <f>MOD_4_CUSTO_REPOSICAO_44H3</f>
        <v>326.77242724385843</v>
      </c>
    </row>
    <row r="85" spans="1:8" ht="16.5" customHeight="1" x14ac:dyDescent="0.3">
      <c r="A85" s="128"/>
      <c r="B85" s="40">
        <v>5</v>
      </c>
      <c r="C85" s="267" t="s">
        <v>96</v>
      </c>
      <c r="D85" s="267"/>
      <c r="E85" s="267"/>
      <c r="F85" s="143">
        <f>MOD_5_INSUMOS_44H</f>
        <v>84.899999999999991</v>
      </c>
      <c r="G85" s="144">
        <f>MOD_5_INSUMOS_44H2</f>
        <v>126.47499999999999</v>
      </c>
      <c r="H85" s="145">
        <f>MOD_5_INSUMOS_44H3</f>
        <v>204.29000000000002</v>
      </c>
    </row>
    <row r="86" spans="1:8" ht="16.5" customHeight="1" x14ac:dyDescent="0.3">
      <c r="A86" s="128"/>
      <c r="B86" s="40">
        <v>6</v>
      </c>
      <c r="C86" s="266" t="s">
        <v>103</v>
      </c>
      <c r="D86" s="266"/>
      <c r="E86" s="266"/>
      <c r="F86" s="143">
        <f>MOD_6_CUSTOS_IND_LUCRO_TRIB_44H</f>
        <v>748.70837978398845</v>
      </c>
      <c r="G86" s="144">
        <f>MOD_6_CUSTOS_IND_LUCRO_TRIB_44H2</f>
        <v>1036.767343206217</v>
      </c>
      <c r="H86" s="145">
        <f>MOD_6_CUSTOS_IND_LUCRO_TRIB_44H3</f>
        <v>773.81943735147604</v>
      </c>
    </row>
    <row r="87" spans="1:8" ht="16.5" customHeight="1" x14ac:dyDescent="0.3">
      <c r="A87" s="2"/>
      <c r="B87" s="277" t="s">
        <v>213</v>
      </c>
      <c r="C87" s="277"/>
      <c r="D87" s="277"/>
      <c r="E87" s="277"/>
      <c r="F87" s="125">
        <f>SUM(F81:F86)</f>
        <v>4308.4267716586919</v>
      </c>
      <c r="G87" s="125">
        <f>SUM(G81:G86)</f>
        <v>5966.0560747828931</v>
      </c>
      <c r="H87" s="125">
        <f>SUM(H81:H86)</f>
        <v>4452.9278292261797</v>
      </c>
    </row>
    <row r="88" spans="1:8" ht="16.5" customHeight="1" x14ac:dyDescent="0.3">
      <c r="A88" s="2"/>
      <c r="B88" s="277" t="s">
        <v>214</v>
      </c>
      <c r="C88" s="277"/>
      <c r="D88" s="277"/>
      <c r="E88" s="277"/>
      <c r="F88" s="125">
        <f>VALOR_TOTAL_EMPREGADO_44H*EMPREG_POR_POSTO</f>
        <v>4308.4267716586919</v>
      </c>
      <c r="G88" s="125">
        <f>VALOR_TOTAL_EMPREGADO_44H2*EMPREG_POR_POSTO2</f>
        <v>5966.0560747828931</v>
      </c>
      <c r="H88" s="125">
        <f>VALOR_TOTAL_EMPREGADO_44H3*EMPREG_POR_POSTO3</f>
        <v>4452.9278292261797</v>
      </c>
    </row>
    <row r="89" spans="1:8" ht="16.5" customHeight="1" x14ac:dyDescent="0.3">
      <c r="A89" s="2"/>
      <c r="B89" s="277" t="s">
        <v>215</v>
      </c>
      <c r="C89" s="277"/>
      <c r="D89" s="277"/>
      <c r="E89" s="277"/>
      <c r="F89" s="125">
        <f>VALOR_TOTAL_EMPREGADO_44H*EMPREG_POR_POSTO*QTDE_POSTOS</f>
        <v>8616.8535433173838</v>
      </c>
      <c r="G89" s="125">
        <f>VALOR_TOTAL_EMPREGADO_44H2*EMPREG_POR_POSTO2*QTDE_POSTOS_PRGO2</f>
        <v>11932.112149565786</v>
      </c>
      <c r="H89" s="125">
        <f>VALOR_TOTAL_EMPREGADO_44H3*EMPREG_POR_POSTO3*QTDE_POSTOS_PRGO3</f>
        <v>8905.8556584523594</v>
      </c>
    </row>
    <row r="90" spans="1:8" ht="16.5" customHeight="1" x14ac:dyDescent="0.3">
      <c r="A90" s="2"/>
      <c r="B90" s="2"/>
      <c r="C90" s="2"/>
      <c r="D90" s="2"/>
      <c r="E90" s="2"/>
      <c r="F90" s="2"/>
      <c r="G90" s="2"/>
      <c r="H90" s="2"/>
    </row>
    <row r="91" spans="1:8" ht="16.5" customHeight="1" x14ac:dyDescent="0.3">
      <c r="A91" s="2"/>
      <c r="B91" s="2" t="s">
        <v>190</v>
      </c>
      <c r="C91" s="2"/>
      <c r="D91" s="2"/>
      <c r="E91" s="2"/>
      <c r="F91" s="2"/>
      <c r="G91" s="2"/>
      <c r="H91" s="2"/>
    </row>
    <row r="92" spans="1:8" ht="16.5" customHeight="1" x14ac:dyDescent="0.3">
      <c r="A92" s="2"/>
      <c r="B92" s="2"/>
      <c r="C92" s="2"/>
      <c r="D92" s="2"/>
      <c r="E92" s="2"/>
      <c r="F92" s="2"/>
      <c r="G92" s="2"/>
      <c r="H92" s="2"/>
    </row>
    <row r="93" spans="1:8" ht="16.5" customHeight="1" x14ac:dyDescent="0.3">
      <c r="A93" s="2"/>
      <c r="B93" s="2"/>
      <c r="C93" s="2"/>
      <c r="D93" s="2"/>
      <c r="E93" s="2"/>
      <c r="F93" s="2"/>
      <c r="G93" s="2"/>
      <c r="H93" s="2"/>
    </row>
  </sheetData>
  <mergeCells count="74">
    <mergeCell ref="B2:H2"/>
    <mergeCell ref="B4:H4"/>
    <mergeCell ref="B6:E6"/>
    <mergeCell ref="C8:E8"/>
    <mergeCell ref="C9:E9"/>
    <mergeCell ref="C10:E10"/>
    <mergeCell ref="C11:E11"/>
    <mergeCell ref="C12:E12"/>
    <mergeCell ref="C13:E13"/>
    <mergeCell ref="C14:E14"/>
    <mergeCell ref="B15:E15"/>
    <mergeCell ref="C18:D18"/>
    <mergeCell ref="C19:D19"/>
    <mergeCell ref="C20:D20"/>
    <mergeCell ref="B21:E21"/>
    <mergeCell ref="B22:F22"/>
    <mergeCell ref="C23:D23"/>
    <mergeCell ref="C24:D24"/>
    <mergeCell ref="C25:D25"/>
    <mergeCell ref="C26:D26"/>
    <mergeCell ref="C27:D27"/>
    <mergeCell ref="C28:D28"/>
    <mergeCell ref="C29:D29"/>
    <mergeCell ref="C30:D30"/>
    <mergeCell ref="C31:D31"/>
    <mergeCell ref="B32:E32"/>
    <mergeCell ref="C34:E34"/>
    <mergeCell ref="C35:E35"/>
    <mergeCell ref="C36:E36"/>
    <mergeCell ref="C37:E37"/>
    <mergeCell ref="C38:E38"/>
    <mergeCell ref="C39:E39"/>
    <mergeCell ref="B40:E40"/>
    <mergeCell ref="C42:D42"/>
    <mergeCell ref="C43:D43"/>
    <mergeCell ref="C44:D44"/>
    <mergeCell ref="C45:D45"/>
    <mergeCell ref="C46:D46"/>
    <mergeCell ref="C47:D47"/>
    <mergeCell ref="C48:D48"/>
    <mergeCell ref="B49:E49"/>
    <mergeCell ref="C53:D53"/>
    <mergeCell ref="C54:D54"/>
    <mergeCell ref="C55:D55"/>
    <mergeCell ref="C56:D56"/>
    <mergeCell ref="C57:D57"/>
    <mergeCell ref="C58:D58"/>
    <mergeCell ref="C59:D59"/>
    <mergeCell ref="B60:E60"/>
    <mergeCell ref="C63:E63"/>
    <mergeCell ref="C64:E64"/>
    <mergeCell ref="C65:E65"/>
    <mergeCell ref="C66:E66"/>
    <mergeCell ref="C67:E67"/>
    <mergeCell ref="B68:E68"/>
    <mergeCell ref="B70:F70"/>
    <mergeCell ref="C71:D71"/>
    <mergeCell ref="C72:D72"/>
    <mergeCell ref="C73:D73"/>
    <mergeCell ref="C74:D74"/>
    <mergeCell ref="C75:D75"/>
    <mergeCell ref="C76:D76"/>
    <mergeCell ref="C77:D77"/>
    <mergeCell ref="B78:E78"/>
    <mergeCell ref="C80:E80"/>
    <mergeCell ref="C81:E81"/>
    <mergeCell ref="B87:E87"/>
    <mergeCell ref="B88:E88"/>
    <mergeCell ref="B89:E89"/>
    <mergeCell ref="C82:E82"/>
    <mergeCell ref="C83:E83"/>
    <mergeCell ref="C84:E84"/>
    <mergeCell ref="C85:E85"/>
    <mergeCell ref="C86:E86"/>
  </mergeCells>
  <conditionalFormatting sqref="F36:H36">
    <cfRule type="cellIs" dxfId="1" priority="2" operator="equal">
      <formula>"Insira o % do PAT"</formula>
    </cfRule>
  </conditionalFormatting>
  <printOptions horizontalCentered="1"/>
  <pageMargins left="0.196527777777778" right="0.196527777777778" top="0.196527777777778" bottom="0.196527777777778" header="0.51180555555555496" footer="0.51180555555555496"/>
  <pageSetup paperSize="9" firstPageNumber="0" fitToHeight="0" orientation="landscape" verticalDpi="3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J89"/>
  <sheetViews>
    <sheetView zoomScale="90" zoomScaleNormal="90" workbookViewId="0">
      <selection activeCell="L19" sqref="L19"/>
    </sheetView>
  </sheetViews>
  <sheetFormatPr defaultRowHeight="14.25" x14ac:dyDescent="0.25"/>
  <cols>
    <col min="1" max="1" width="2.7109375" style="1" customWidth="1"/>
    <col min="2" max="2" width="8.85546875" style="1" customWidth="1"/>
    <col min="3" max="3" width="52.5703125" style="1" customWidth="1"/>
    <col min="4" max="4" width="15.7109375" style="1" customWidth="1"/>
    <col min="5" max="5" width="13.5703125" style="1" customWidth="1"/>
    <col min="6" max="7" width="17.28515625" style="1" customWidth="1"/>
    <col min="8" max="8" width="1.5703125" style="1" customWidth="1"/>
    <col min="9" max="543" width="12.5703125" style="1" customWidth="1"/>
    <col min="544" max="575" width="11.5703125"/>
    <col min="576" max="1025" width="8.7109375" customWidth="1"/>
  </cols>
  <sheetData>
    <row r="1" spans="1:1024" s="1" customFormat="1" ht="15" customHeight="1" x14ac:dyDescent="0.3">
      <c r="A1" s="3"/>
      <c r="B1" s="132"/>
      <c r="C1" s="133"/>
      <c r="D1" s="133"/>
      <c r="E1" s="133"/>
      <c r="F1" s="134"/>
      <c r="G1" s="3"/>
      <c r="H1" s="3"/>
      <c r="ALB1"/>
      <c r="ALC1"/>
      <c r="ALD1"/>
      <c r="ALE1"/>
      <c r="ALF1"/>
      <c r="ALG1"/>
      <c r="ALH1"/>
      <c r="ALI1"/>
      <c r="ALJ1"/>
      <c r="ALK1"/>
      <c r="ALL1"/>
      <c r="ALM1"/>
      <c r="ALN1"/>
      <c r="ALO1"/>
      <c r="ALP1"/>
      <c r="ALQ1"/>
      <c r="ALR1"/>
      <c r="ALS1"/>
      <c r="ALT1"/>
      <c r="ALU1"/>
      <c r="ALV1"/>
      <c r="ALW1"/>
      <c r="ALX1"/>
      <c r="ALY1"/>
      <c r="ALZ1"/>
      <c r="AMA1"/>
      <c r="AMB1"/>
      <c r="AMC1"/>
      <c r="AMD1"/>
      <c r="AME1"/>
      <c r="AMF1"/>
      <c r="AMG1"/>
      <c r="AMH1"/>
      <c r="AMI1"/>
      <c r="AMJ1"/>
    </row>
    <row r="2" spans="1:1024" s="1" customFormat="1" ht="20.25" customHeight="1" x14ac:dyDescent="0.35">
      <c r="A2" s="105"/>
      <c r="B2" s="325" t="s">
        <v>238</v>
      </c>
      <c r="C2" s="325"/>
      <c r="D2" s="325"/>
      <c r="E2" s="325"/>
      <c r="F2" s="325"/>
      <c r="G2" s="325"/>
      <c r="H2" s="325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  <c r="AMH2"/>
      <c r="AMI2"/>
      <c r="AMJ2"/>
    </row>
    <row r="3" spans="1:1024" s="1" customFormat="1" ht="7.5" customHeight="1" x14ac:dyDescent="0.25">
      <c r="ALD3"/>
      <c r="ALE3"/>
      <c r="ALF3"/>
      <c r="ALG3"/>
      <c r="ALH3"/>
      <c r="ALI3"/>
      <c r="ALJ3"/>
      <c r="ALK3"/>
      <c r="ALL3"/>
      <c r="ALM3"/>
      <c r="ALN3"/>
      <c r="ALO3"/>
      <c r="ALP3"/>
      <c r="ALQ3"/>
      <c r="ALR3"/>
      <c r="ALS3"/>
      <c r="ALT3"/>
      <c r="ALU3"/>
      <c r="ALV3"/>
      <c r="ALW3"/>
      <c r="ALX3"/>
      <c r="ALY3"/>
      <c r="ALZ3"/>
      <c r="AMA3"/>
      <c r="AMB3"/>
      <c r="AMC3"/>
      <c r="AMD3"/>
      <c r="AME3"/>
      <c r="AMF3"/>
      <c r="AMG3"/>
      <c r="AMH3"/>
      <c r="AMI3"/>
      <c r="AMJ3"/>
    </row>
    <row r="4" spans="1:1024" s="136" customFormat="1" ht="16.5" customHeight="1" x14ac:dyDescent="0.3">
      <c r="A4" s="2"/>
      <c r="B4" s="272" t="s">
        <v>198</v>
      </c>
      <c r="C4" s="272"/>
      <c r="D4" s="272"/>
      <c r="E4" s="272"/>
      <c r="F4" s="135">
        <f>IF(EMPREG_POR_POSTO="","",EMPREG_POR_POSTO)</f>
        <v>1</v>
      </c>
      <c r="G4" s="135">
        <f>IF(EMPREG_POR_POSTO="","",EMPREG_POR_POSTO)</f>
        <v>1</v>
      </c>
    </row>
    <row r="5" spans="1:1024" ht="16.5" customHeight="1" x14ac:dyDescent="0.3">
      <c r="A5" s="2"/>
      <c r="B5" s="38" t="s">
        <v>46</v>
      </c>
      <c r="C5" s="2"/>
      <c r="D5" s="2"/>
      <c r="E5" s="39"/>
      <c r="F5" s="168" t="s">
        <v>236</v>
      </c>
      <c r="G5" s="169" t="s">
        <v>24</v>
      </c>
    </row>
    <row r="6" spans="1:1024" ht="16.5" customHeight="1" x14ac:dyDescent="0.3">
      <c r="A6" s="2"/>
      <c r="B6" s="5">
        <v>1</v>
      </c>
      <c r="C6" s="277" t="s">
        <v>47</v>
      </c>
      <c r="D6" s="277"/>
      <c r="E6" s="277"/>
      <c r="F6" s="40" t="s">
        <v>97</v>
      </c>
      <c r="G6" s="40" t="s">
        <v>97</v>
      </c>
    </row>
    <row r="7" spans="1:1024" ht="16.5" customHeight="1" x14ac:dyDescent="0.3">
      <c r="A7" s="2"/>
      <c r="B7" s="5" t="s">
        <v>11</v>
      </c>
      <c r="C7" s="279" t="s">
        <v>199</v>
      </c>
      <c r="D7" s="279"/>
      <c r="E7" s="279"/>
      <c r="F7" s="137">
        <f>SALARIO_BASE</f>
        <v>1601.55</v>
      </c>
      <c r="G7" s="139">
        <f>SALARIO_BASE3</f>
        <v>1601.55</v>
      </c>
    </row>
    <row r="8" spans="1:1024" ht="16.5" customHeight="1" x14ac:dyDescent="0.3">
      <c r="A8" s="2"/>
      <c r="B8" s="5" t="s">
        <v>13</v>
      </c>
      <c r="C8" s="266" t="s">
        <v>200</v>
      </c>
      <c r="D8" s="266"/>
      <c r="E8" s="266"/>
      <c r="F8" s="137">
        <f>PERC_ADIC_PERIC%*SALARIO_BASE</f>
        <v>0</v>
      </c>
      <c r="G8" s="139">
        <f>PERC_ADIC_PERIC3%*SALARIO_BASE3</f>
        <v>0</v>
      </c>
    </row>
    <row r="9" spans="1:1024" ht="15.75" customHeight="1" x14ac:dyDescent="0.3">
      <c r="A9" s="2"/>
      <c r="B9" s="5" t="s">
        <v>15</v>
      </c>
      <c r="C9" s="267" t="s">
        <v>203</v>
      </c>
      <c r="D9" s="267"/>
      <c r="E9" s="267"/>
      <c r="F9" s="137">
        <f>PERC_ADIC_INS%*SAL_MINIMO</f>
        <v>0</v>
      </c>
      <c r="G9" s="139">
        <f>PERC_ADIC_INS%*SAL_MINIMO</f>
        <v>0</v>
      </c>
    </row>
    <row r="10" spans="1:1024" ht="16.5" customHeight="1" x14ac:dyDescent="0.3">
      <c r="A10" s="2"/>
      <c r="B10" s="5" t="s">
        <v>17</v>
      </c>
      <c r="C10" s="283" t="str">
        <f>OUTROS_REMUNERACAO_1_DESCRICAO</f>
        <v>Outras Remunerações 1 (Especificar)</v>
      </c>
      <c r="D10" s="283"/>
      <c r="E10" s="283"/>
      <c r="F10" s="137">
        <f>OUTROS_REMUNERACAO_1</f>
        <v>0</v>
      </c>
      <c r="G10" s="139">
        <f>OUTROS_REMUNERACAO_3</f>
        <v>0</v>
      </c>
    </row>
    <row r="11" spans="1:1024" ht="16.5" customHeight="1" x14ac:dyDescent="0.3">
      <c r="A11" s="2"/>
      <c r="B11" s="5" t="s">
        <v>19</v>
      </c>
      <c r="C11" s="279" t="str">
        <f>OUTROS_REMUNERACAO_2_DESCRICAO</f>
        <v>Outras Remunerações 2 (Especificar)</v>
      </c>
      <c r="D11" s="279"/>
      <c r="E11" s="279"/>
      <c r="F11" s="137">
        <f>OUTROS_REMUNERACAO_2</f>
        <v>0</v>
      </c>
      <c r="G11" s="139">
        <f>OUTROS_REMUNERACAO_23</f>
        <v>0</v>
      </c>
    </row>
    <row r="12" spans="1:1024" ht="16.5" customHeight="1" x14ac:dyDescent="0.3">
      <c r="A12" s="2"/>
      <c r="B12" s="5" t="s">
        <v>54</v>
      </c>
      <c r="C12" s="283" t="str">
        <f>OUTROS_REMUNERACAO_3_DESCRICAO</f>
        <v>Outras Remunerações 3 (Especificar)</v>
      </c>
      <c r="D12" s="283"/>
      <c r="E12" s="283"/>
      <c r="F12" s="137">
        <f>OUTROS_REMUNERACAO_3</f>
        <v>0</v>
      </c>
      <c r="G12" s="139">
        <f>OUTROS_REMUNERACAO_33</f>
        <v>0</v>
      </c>
    </row>
    <row r="13" spans="1:1024" ht="16.5" customHeight="1" x14ac:dyDescent="0.3">
      <c r="A13" s="2"/>
      <c r="B13" s="277" t="s">
        <v>167</v>
      </c>
      <c r="C13" s="277"/>
      <c r="D13" s="277"/>
      <c r="E13" s="277"/>
      <c r="F13" s="109">
        <f>SUM(F7:F12)</f>
        <v>1601.55</v>
      </c>
      <c r="G13" s="109">
        <f>SUM(G7:G12)</f>
        <v>1601.55</v>
      </c>
    </row>
    <row r="14" spans="1:1024" ht="16.5" customHeight="1" x14ac:dyDescent="0.3">
      <c r="A14" s="2"/>
      <c r="B14" s="38" t="s">
        <v>58</v>
      </c>
      <c r="C14" s="2"/>
      <c r="D14" s="2"/>
      <c r="E14" s="49"/>
      <c r="F14" s="129"/>
      <c r="G14" s="131"/>
    </row>
    <row r="15" spans="1:1024" ht="16.5" customHeight="1" x14ac:dyDescent="0.3">
      <c r="A15" s="2"/>
      <c r="B15" s="38" t="s">
        <v>149</v>
      </c>
      <c r="C15" s="61"/>
      <c r="D15" s="62"/>
      <c r="E15" s="63"/>
      <c r="F15" s="140"/>
      <c r="G15" s="142"/>
    </row>
    <row r="16" spans="1:1024" ht="16.5" customHeight="1" x14ac:dyDescent="0.3">
      <c r="A16" s="2"/>
      <c r="B16" s="5" t="s">
        <v>150</v>
      </c>
      <c r="C16" s="272" t="s">
        <v>151</v>
      </c>
      <c r="D16" s="272"/>
      <c r="E16" s="40" t="s">
        <v>90</v>
      </c>
      <c r="F16" s="40" t="s">
        <v>97</v>
      </c>
      <c r="G16" s="40" t="s">
        <v>97</v>
      </c>
    </row>
    <row r="17" spans="1:7" ht="16.5" customHeight="1" x14ac:dyDescent="0.3">
      <c r="A17" s="2"/>
      <c r="B17" s="5" t="s">
        <v>11</v>
      </c>
      <c r="C17" s="267" t="s">
        <v>153</v>
      </c>
      <c r="D17" s="267"/>
      <c r="E17" s="89">
        <f>PERC_DEC_TERC</f>
        <v>8.3333333333333321</v>
      </c>
      <c r="F17" s="143">
        <f>PERC_DEC_TERC%*MOD_1_REMUNERACAO_44H</f>
        <v>133.46249999999998</v>
      </c>
      <c r="G17" s="145">
        <f>PERC_DEC_TERC%*MOD_1_REMUNERACAO_44H3</f>
        <v>133.46249999999998</v>
      </c>
    </row>
    <row r="18" spans="1:7" ht="16.5" customHeight="1" x14ac:dyDescent="0.3">
      <c r="A18" s="2"/>
      <c r="B18" s="40" t="s">
        <v>13</v>
      </c>
      <c r="C18" s="266" t="s">
        <v>155</v>
      </c>
      <c r="D18" s="266"/>
      <c r="E18" s="90">
        <f>PERC_ADIC_FERIAS</f>
        <v>2.7777777777777777</v>
      </c>
      <c r="F18" s="143">
        <f>PERC_ADIC_FERIAS%*MOD_1_REMUNERACAO_44H</f>
        <v>44.487499999999997</v>
      </c>
      <c r="G18" s="145">
        <f>PERC_ADIC_FERIAS%*MOD_1_REMUNERACAO_44H3</f>
        <v>44.487499999999997</v>
      </c>
    </row>
    <row r="19" spans="1:7" ht="16.5" customHeight="1" x14ac:dyDescent="0.3">
      <c r="A19" s="48"/>
      <c r="B19" s="272" t="s">
        <v>167</v>
      </c>
      <c r="C19" s="272"/>
      <c r="D19" s="272"/>
      <c r="E19" s="272"/>
      <c r="F19" s="112">
        <f>SUM(F17:F18)</f>
        <v>177.95</v>
      </c>
      <c r="G19" s="112">
        <f>SUM(G17:G18)</f>
        <v>177.95</v>
      </c>
    </row>
    <row r="20" spans="1:7" ht="31.5" customHeight="1" x14ac:dyDescent="0.3">
      <c r="A20" s="48"/>
      <c r="B20" s="271" t="s">
        <v>157</v>
      </c>
      <c r="C20" s="271"/>
      <c r="D20" s="271"/>
      <c r="E20" s="271"/>
      <c r="F20" s="271"/>
      <c r="G20" s="147"/>
    </row>
    <row r="21" spans="1:7" ht="34.5" customHeight="1" x14ac:dyDescent="0.3">
      <c r="A21" s="48"/>
      <c r="B21" s="5" t="s">
        <v>60</v>
      </c>
      <c r="C21" s="277" t="s">
        <v>158</v>
      </c>
      <c r="D21" s="277"/>
      <c r="E21" s="40" t="s">
        <v>90</v>
      </c>
      <c r="F21" s="40" t="s">
        <v>97</v>
      </c>
      <c r="G21" s="40" t="s">
        <v>97</v>
      </c>
    </row>
    <row r="22" spans="1:7" ht="16.5" customHeight="1" x14ac:dyDescent="0.3">
      <c r="A22" s="2"/>
      <c r="B22" s="5" t="s">
        <v>11</v>
      </c>
      <c r="C22" s="267" t="s">
        <v>159</v>
      </c>
      <c r="D22" s="267"/>
      <c r="E22" s="89">
        <f>PERC_INSS</f>
        <v>20</v>
      </c>
      <c r="F22" s="143">
        <f>PERC_INSS%*(MOD_1_REMUNERACAO_44H+SUBMOD_2_1_DEC_TERC_ADIC_FERIAS_44H)</f>
        <v>355.90000000000003</v>
      </c>
      <c r="G22" s="145">
        <f>PERC_INSS%*(MOD_1_REMUNERACAO_44H3+SUBMOD_2_1_DEC_TERC_ADIC_FERIAS_44H3)</f>
        <v>355.90000000000003</v>
      </c>
    </row>
    <row r="23" spans="1:7" ht="16.5" customHeight="1" x14ac:dyDescent="0.25">
      <c r="A23" s="3"/>
      <c r="B23" s="40" t="s">
        <v>13</v>
      </c>
      <c r="C23" s="266" t="s">
        <v>160</v>
      </c>
      <c r="D23" s="266"/>
      <c r="E23" s="91">
        <f>PERC_SAL_EDUCACAO</f>
        <v>2.5</v>
      </c>
      <c r="F23" s="143">
        <f>PERC_SAL_EDUCACAO%*(MOD_1_REMUNERACAO_44H+SUBMOD_2_1_DEC_TERC_ADIC_FERIAS_44H)</f>
        <v>44.487500000000004</v>
      </c>
      <c r="G23" s="145">
        <f>PERC_SAL_EDUCACAO%*(MOD_1_REMUNERACAO_44H3+SUBMOD_2_1_DEC_TERC_ADIC_FERIAS_44H3)</f>
        <v>44.487500000000004</v>
      </c>
    </row>
    <row r="24" spans="1:7" ht="16.5" customHeight="1" x14ac:dyDescent="0.25">
      <c r="A24" s="3"/>
      <c r="B24" s="40" t="s">
        <v>15</v>
      </c>
      <c r="C24" s="267" t="s">
        <v>161</v>
      </c>
      <c r="D24" s="267"/>
      <c r="E24" s="89">
        <f>PERC_RAT</f>
        <v>3</v>
      </c>
      <c r="F24" s="143">
        <f>PERC_RAT%*(MOD_1_REMUNERACAO_44H+SUBMOD_2_1_DEC_TERC_ADIC_FERIAS_44H)</f>
        <v>53.384999999999998</v>
      </c>
      <c r="G24" s="145">
        <f>PERC_RAT%*(MOD_1_REMUNERACAO_44H3+SUBMOD_2_1_DEC_TERC_ADIC_FERIAS_44H3)</f>
        <v>53.384999999999998</v>
      </c>
    </row>
    <row r="25" spans="1:7" ht="16.5" customHeight="1" x14ac:dyDescent="0.25">
      <c r="A25" s="3"/>
      <c r="B25" s="40" t="s">
        <v>17</v>
      </c>
      <c r="C25" s="266" t="s">
        <v>162</v>
      </c>
      <c r="D25" s="266"/>
      <c r="E25" s="90">
        <f>PERC_SESC</f>
        <v>1.5</v>
      </c>
      <c r="F25" s="143">
        <f>PERC_SESC%*(MOD_1_REMUNERACAO_44H+SUBMOD_2_1_DEC_TERC_ADIC_FERIAS_44H)</f>
        <v>26.692499999999999</v>
      </c>
      <c r="G25" s="145">
        <f>PERC_SESC%*(MOD_1_REMUNERACAO_44H3+SUBMOD_2_1_DEC_TERC_ADIC_FERIAS_44H3)</f>
        <v>26.692499999999999</v>
      </c>
    </row>
    <row r="26" spans="1:7" ht="16.5" customHeight="1" x14ac:dyDescent="0.25">
      <c r="A26" s="3"/>
      <c r="B26" s="40" t="s">
        <v>19</v>
      </c>
      <c r="C26" s="267" t="s">
        <v>163</v>
      </c>
      <c r="D26" s="267"/>
      <c r="E26" s="89">
        <f>PERC_SENAC</f>
        <v>1</v>
      </c>
      <c r="F26" s="143">
        <f>PERC_SENAC%*(MOD_1_REMUNERACAO_44H+SUBMOD_2_1_DEC_TERC_ADIC_FERIAS_44H)</f>
        <v>17.795000000000002</v>
      </c>
      <c r="G26" s="145">
        <f>PERC_SENAC%*(MOD_1_REMUNERACAO_44H3+SUBMOD_2_1_DEC_TERC_ADIC_FERIAS_44H3)</f>
        <v>17.795000000000002</v>
      </c>
    </row>
    <row r="27" spans="1:7" ht="16.5" customHeight="1" x14ac:dyDescent="0.25">
      <c r="A27" s="3"/>
      <c r="B27" s="40" t="s">
        <v>54</v>
      </c>
      <c r="C27" s="266" t="s">
        <v>164</v>
      </c>
      <c r="D27" s="266"/>
      <c r="E27" s="91">
        <f>PERC_SEBRAE</f>
        <v>0.6</v>
      </c>
      <c r="F27" s="143">
        <f>PERC_SEBRAE%*(MOD_1_REMUNERACAO_44H+SUBMOD_2_1_DEC_TERC_ADIC_FERIAS_44H)</f>
        <v>10.677</v>
      </c>
      <c r="G27" s="145">
        <f>PERC_SEBRAE%*(MOD_1_REMUNERACAO_44H3+SUBMOD_2_1_DEC_TERC_ADIC_FERIAS_44H3)</f>
        <v>10.677</v>
      </c>
    </row>
    <row r="28" spans="1:7" ht="16.5" customHeight="1" x14ac:dyDescent="0.25">
      <c r="A28" s="3"/>
      <c r="B28" s="40" t="s">
        <v>56</v>
      </c>
      <c r="C28" s="267" t="s">
        <v>165</v>
      </c>
      <c r="D28" s="267"/>
      <c r="E28" s="89">
        <f>PERC_INCRA</f>
        <v>0.2</v>
      </c>
      <c r="F28" s="143">
        <f>PERC_INCRA%*(MOD_1_REMUNERACAO_44H+SUBMOD_2_1_DEC_TERC_ADIC_FERIAS_44H)</f>
        <v>3.5590000000000002</v>
      </c>
      <c r="G28" s="145">
        <f>PERC_INCRA%*(MOD_1_REMUNERACAO_44H3+SUBMOD_2_1_DEC_TERC_ADIC_FERIAS_44H3)</f>
        <v>3.5590000000000002</v>
      </c>
    </row>
    <row r="29" spans="1:7" ht="16.5" customHeight="1" x14ac:dyDescent="0.3">
      <c r="A29" s="2"/>
      <c r="B29" s="40" t="s">
        <v>146</v>
      </c>
      <c r="C29" s="266" t="s">
        <v>166</v>
      </c>
      <c r="D29" s="266"/>
      <c r="E29" s="91">
        <f>PERC_FGTS</f>
        <v>8</v>
      </c>
      <c r="F29" s="143">
        <f>PERC_FGTS%*(MOD_1_REMUNERACAO_44H+SUBMOD_2_1_DEC_TERC_ADIC_FERIAS_44H)</f>
        <v>142.36000000000001</v>
      </c>
      <c r="G29" s="145">
        <f>PERC_FGTS%*(MOD_1_REMUNERACAO_44H3+SUBMOD_2_1_DEC_TERC_ADIC_FERIAS_44H3)</f>
        <v>142.36000000000001</v>
      </c>
    </row>
    <row r="30" spans="1:7" ht="16.5" customHeight="1" x14ac:dyDescent="0.3">
      <c r="A30" s="2"/>
      <c r="B30" s="277" t="s">
        <v>167</v>
      </c>
      <c r="C30" s="277"/>
      <c r="D30" s="277"/>
      <c r="E30" s="277"/>
      <c r="F30" s="113">
        <f>SUM(F22:F29)</f>
        <v>654.85600000000011</v>
      </c>
      <c r="G30" s="113">
        <f>SUM(G22:G29)</f>
        <v>654.85600000000011</v>
      </c>
    </row>
    <row r="31" spans="1:7" ht="15.75" customHeight="1" x14ac:dyDescent="0.3">
      <c r="A31" s="2"/>
      <c r="B31" s="38" t="s">
        <v>64</v>
      </c>
      <c r="C31" s="3"/>
      <c r="D31" s="3"/>
      <c r="E31" s="3"/>
      <c r="F31" s="3"/>
      <c r="G31" s="3"/>
    </row>
    <row r="32" spans="1:7" ht="15.75" customHeight="1" x14ac:dyDescent="0.3">
      <c r="A32" s="2"/>
      <c r="B32" s="170" t="s">
        <v>65</v>
      </c>
      <c r="C32" s="327" t="s">
        <v>66</v>
      </c>
      <c r="D32" s="327"/>
      <c r="E32" s="327"/>
      <c r="F32" s="171" t="s">
        <v>97</v>
      </c>
      <c r="G32" s="171" t="s">
        <v>97</v>
      </c>
    </row>
    <row r="33" spans="1:574" ht="16.5" customHeight="1" x14ac:dyDescent="0.3">
      <c r="A33" s="2"/>
      <c r="B33" s="172" t="s">
        <v>11</v>
      </c>
      <c r="C33" s="328" t="s">
        <v>204</v>
      </c>
      <c r="D33" s="328"/>
      <c r="E33" s="328"/>
      <c r="F33" s="173">
        <f>IF(((TRANSPORTE_POR_DIA_ANA*DIAS_UTEIS_TRABALHADOS_NO_MES_44HORAS)-(PERC_DESC_TRANSP_REMUNERACAO%*(AL_1_A_SAL_BASE_44H)))&gt;0,((TRANSPORTE_POR_DIA_ANA*DIAS_UTEIS_TRABALHADOS_NO_MES_44HORAS)-(PERC_DESC_TRANSP_REMUNERACAO%*(AL_1_A_SAL_BASE_44H))),0)</f>
        <v>155.90700000000001</v>
      </c>
      <c r="G33" s="174">
        <f>IF(((TRANSPORTE_POR_DIA_ANA3*DIAS_UTEIS_TRABALHADOS_NO_MES_44HORAS)-(PERC_DESC_TRANSP_REMUNERACAO%*(AL_1_A_SAL_BASE_44H3)))&gt;0,((TRANSPORTE_POR_DIA_ANA3*DIAS_UTEIS_TRABALHADOS_NO_MES_44HORAS)-(PERC_DESC_TRANSP_REMUNERACAO%*(AL_1_A_SAL_BASE_44H3))),0)</f>
        <v>155.90700000000001</v>
      </c>
    </row>
    <row r="34" spans="1:574" s="156" customFormat="1" ht="16.5" customHeight="1" x14ac:dyDescent="0.3">
      <c r="A34" s="54"/>
      <c r="B34" s="175" t="s">
        <v>13</v>
      </c>
      <c r="C34" s="329" t="s">
        <v>72</v>
      </c>
      <c r="D34" s="329"/>
      <c r="E34" s="329"/>
      <c r="F34" s="176">
        <f>IF(AND(ADESAO_AO_PAT="Sim",PERC_PAT&lt;&gt;""),ALIMENTACAO_POR_DIA*DIAS_UTEIS_TRABALHADOS_NO_MES_44HORAS*(100-PERC_PAT)%,IF(AND(ADESAO_AO_PAT="Sim",PERC_PAT=""),"Insira o % do PAT",ALIMENTACAO_POR_DIA*DIAS_UTEIS_TRABALHADOS_NO_MES_44HORAS))*(1-11%)</f>
        <v>467.25</v>
      </c>
      <c r="G34" s="177">
        <f>IF(AND(ADESAO_AO_PAT="Sim",PERC_PAT&lt;&gt;""),ALIMENTACAO_POR_DIA3*DIAS_UTEIS_TRABALHADOS_NO_MES_44HORAS*(100-PERC_PAT)%,IF(AND(ADESAO_AO_PAT="Sim",PERC_PAT=""),"Insira o % do PAT",ALIMENTACAO_POR_DIA*DIAS_UTEIS_TRABALHADOS_NO_MES_44HORAS))*(1-11%)</f>
        <v>467.25</v>
      </c>
      <c r="TX34" s="157"/>
      <c r="TY34" s="157"/>
      <c r="TZ34" s="157"/>
      <c r="UA34" s="157"/>
      <c r="UB34" s="157"/>
      <c r="UC34" s="157"/>
      <c r="UD34" s="157"/>
      <c r="UE34" s="157"/>
      <c r="UF34" s="157"/>
      <c r="UG34" s="157"/>
      <c r="UH34" s="157"/>
      <c r="UI34" s="157"/>
      <c r="UJ34" s="157"/>
      <c r="UK34" s="157"/>
      <c r="UL34" s="157"/>
      <c r="UM34" s="157"/>
      <c r="UN34" s="157"/>
      <c r="UO34" s="157"/>
      <c r="UP34" s="157"/>
      <c r="UQ34" s="157"/>
      <c r="UR34" s="157"/>
      <c r="US34" s="157"/>
      <c r="UT34" s="157"/>
      <c r="UU34" s="157"/>
      <c r="UV34" s="157"/>
      <c r="UW34" s="157"/>
      <c r="UX34" s="157"/>
      <c r="UY34" s="157"/>
      <c r="UZ34" s="157"/>
      <c r="VA34" s="157"/>
      <c r="VB34" s="157"/>
    </row>
    <row r="35" spans="1:574" ht="16.5" customHeight="1" x14ac:dyDescent="0.3">
      <c r="A35" s="48"/>
      <c r="B35" s="158" t="s">
        <v>15</v>
      </c>
      <c r="C35" s="324" t="str">
        <f>OUTROS_BENEFICIOS_1_DESCRICAO</f>
        <v>Amparo Familiar</v>
      </c>
      <c r="D35" s="324"/>
      <c r="E35" s="324"/>
      <c r="F35" s="159">
        <f>OUTROS_BENEFICIOS_1</f>
        <v>16</v>
      </c>
      <c r="G35" s="161">
        <f>OUTROS_BENEFICIOS_13</f>
        <v>16</v>
      </c>
    </row>
    <row r="36" spans="1:574" ht="16.5" customHeight="1" x14ac:dyDescent="0.3">
      <c r="A36" s="48"/>
      <c r="B36" s="4" t="s">
        <v>17</v>
      </c>
      <c r="C36" s="283" t="str">
        <f>OUTROS_BENEFICIOS_2_DESCRICAO</f>
        <v>Cota de Aprendizagem</v>
      </c>
      <c r="D36" s="283"/>
      <c r="E36" s="283"/>
      <c r="F36" s="143">
        <f>OUTROS_BENEFICIOS_2</f>
        <v>72.37</v>
      </c>
      <c r="G36" s="145">
        <f>OUTROS_BENEFICIOS_23</f>
        <v>72.37</v>
      </c>
    </row>
    <row r="37" spans="1:574" ht="16.5" customHeight="1" x14ac:dyDescent="0.3">
      <c r="A37" s="48"/>
      <c r="B37" s="4" t="s">
        <v>19</v>
      </c>
      <c r="C37" s="279" t="str">
        <f>OUTROS_BENEFICIOS_3_DESCRICAO</f>
        <v>Seguro de vida</v>
      </c>
      <c r="D37" s="279"/>
      <c r="E37" s="279"/>
      <c r="F37" s="143">
        <f>OUTROS_BENEFICIOS_3</f>
        <v>4</v>
      </c>
      <c r="G37" s="145">
        <f>OUTROS_BENEFICIOS_33</f>
        <v>4</v>
      </c>
    </row>
    <row r="38" spans="1:574" ht="15" customHeight="1" x14ac:dyDescent="0.3">
      <c r="A38" s="48"/>
      <c r="B38" s="277" t="s">
        <v>167</v>
      </c>
      <c r="C38" s="277"/>
      <c r="D38" s="277"/>
      <c r="E38" s="277"/>
      <c r="F38" s="109">
        <f>SUM(F33:F37)</f>
        <v>715.52700000000004</v>
      </c>
      <c r="G38" s="109">
        <f>SUM(G33:G37)</f>
        <v>715.52700000000004</v>
      </c>
    </row>
    <row r="39" spans="1:574" ht="16.5" customHeight="1" x14ac:dyDescent="0.3">
      <c r="A39" s="48"/>
      <c r="B39" s="38" t="s">
        <v>131</v>
      </c>
      <c r="C39" s="61"/>
      <c r="D39" s="62"/>
      <c r="E39" s="63"/>
      <c r="F39" s="3"/>
      <c r="G39" s="3"/>
    </row>
    <row r="40" spans="1:574" ht="15" customHeight="1" x14ac:dyDescent="0.3">
      <c r="A40" s="48"/>
      <c r="B40" s="5">
        <v>3</v>
      </c>
      <c r="C40" s="272" t="s">
        <v>132</v>
      </c>
      <c r="D40" s="272"/>
      <c r="E40" s="40" t="s">
        <v>90</v>
      </c>
      <c r="F40" s="40" t="s">
        <v>97</v>
      </c>
      <c r="G40" s="40" t="s">
        <v>97</v>
      </c>
    </row>
    <row r="41" spans="1:574" ht="16.5" customHeight="1" x14ac:dyDescent="0.3">
      <c r="A41" s="48"/>
      <c r="B41" s="5" t="s">
        <v>11</v>
      </c>
      <c r="C41" s="282" t="s">
        <v>168</v>
      </c>
      <c r="D41" s="282"/>
      <c r="E41" s="89">
        <f>PERC_AVISO_PREVIO_IND</f>
        <v>0.29105124999999998</v>
      </c>
      <c r="F41" s="143">
        <f>PERC_AVISO_PREVIO_IND%*(MOD_1_REMUNERACAO_44H+SUBMOD_2_1_DEC_TERC_ADIC_FERIAS_44H)</f>
        <v>5.1792569937499993</v>
      </c>
      <c r="G41" s="145">
        <f>PERC_AVISO_PREVIO_IND%*(MOD_1_REMUNERACAO_44H3+SUBMOD_2_1_DEC_TERC_ADIC_FERIAS_44H3)</f>
        <v>5.1792569937499993</v>
      </c>
    </row>
    <row r="42" spans="1:574" ht="16.5" customHeight="1" x14ac:dyDescent="0.3">
      <c r="A42" s="48"/>
      <c r="B42" s="40" t="s">
        <v>13</v>
      </c>
      <c r="C42" s="286" t="s">
        <v>170</v>
      </c>
      <c r="D42" s="286"/>
      <c r="E42" s="91">
        <f>INCID_FGTS_SOBRE_API</f>
        <v>2.3284099999999999E-2</v>
      </c>
      <c r="F42" s="143">
        <f>INCID_FGTS_SOBRE_API%*(MOD_1_REMUNERACAO_44H+SUBMOD_2_1_DEC_TERC_ADIC_FERIAS_44H)</f>
        <v>0.41434055949999998</v>
      </c>
      <c r="G42" s="145">
        <f>INCID_FGTS_SOBRE_API%*(MOD_1_REMUNERACAO_44H3+SUBMOD_2_1_DEC_TERC_ADIC_FERIAS_44H3)</f>
        <v>0.41434055949999998</v>
      </c>
    </row>
    <row r="43" spans="1:574" ht="16.5" customHeight="1" x14ac:dyDescent="0.25">
      <c r="A43" s="3"/>
      <c r="B43" s="40" t="s">
        <v>15</v>
      </c>
      <c r="C43" s="282" t="s">
        <v>172</v>
      </c>
      <c r="D43" s="282"/>
      <c r="E43" s="89">
        <f>PERC_MULTA_FGTS_AV_PREV_IND</f>
        <v>0.11176368</v>
      </c>
      <c r="F43" s="143">
        <f>PERC_MULTA_FGTS_AV_PREV_IND%*(MOD_1_REMUNERACAO_44H+SUBMOD_2_1_DEC_TERC_ADIC_FERIAS_44H)</f>
        <v>1.9888346856000001</v>
      </c>
      <c r="G43" s="145">
        <f>PERC_MULTA_FGTS_AV_PREV_IND%*(MOD_1_REMUNERACAO_44H3+SUBMOD_2_1_DEC_TERC_ADIC_FERIAS_44H3)</f>
        <v>1.9888346856000001</v>
      </c>
    </row>
    <row r="44" spans="1:574" ht="16.5" customHeight="1" x14ac:dyDescent="0.25">
      <c r="A44" s="3"/>
      <c r="B44" s="40" t="s">
        <v>17</v>
      </c>
      <c r="C44" s="286" t="s">
        <v>174</v>
      </c>
      <c r="D44" s="286"/>
      <c r="E44" s="91">
        <f>PERC_AVISO_PREVIO_TRAB</f>
        <v>1.1557269305555555</v>
      </c>
      <c r="F44" s="143">
        <f>PERC_AVISO_PREVIO_TRAB%*(MOD_1_REMUNERACAO_44H+SUBMOD_2_1_DEC_TERC_ADIC_FERIAS_44H)</f>
        <v>20.56616072923611</v>
      </c>
      <c r="G44" s="145">
        <f>PERC_AVISO_PREVIO_TRAB%*(MOD_1_REMUNERACAO_44H3+SUBMOD_2_1_DEC_TERC_ADIC_FERIAS_44H3)</f>
        <v>20.56616072923611</v>
      </c>
    </row>
    <row r="45" spans="1:574" ht="16.5" customHeight="1" x14ac:dyDescent="0.25">
      <c r="A45" s="3"/>
      <c r="B45" s="40" t="s">
        <v>19</v>
      </c>
      <c r="C45" s="282" t="s">
        <v>176</v>
      </c>
      <c r="D45" s="282"/>
      <c r="E45" s="89">
        <f>INCID_SUBMOD_2_2_APT</f>
        <v>0.42530751044444437</v>
      </c>
      <c r="F45" s="143">
        <f>INCID_SUBMOD_2_2_APT%*(MOD_1_REMUNERACAO_44H+SUBMOD_2_1_DEC_TERC_ADIC_FERIAS_44H)</f>
        <v>7.568347148358888</v>
      </c>
      <c r="G45" s="145">
        <f>INCID_SUBMOD_2_2_APT%*(MOD_1_REMUNERACAO_44H3+SUBMOD_2_1_DEC_TERC_ADIC_FERIAS_44H3)</f>
        <v>7.568347148358888</v>
      </c>
    </row>
    <row r="46" spans="1:574" ht="16.5" customHeight="1" x14ac:dyDescent="0.25">
      <c r="A46" s="3"/>
      <c r="B46" s="40" t="s">
        <v>54</v>
      </c>
      <c r="C46" s="286" t="s">
        <v>178</v>
      </c>
      <c r="D46" s="286"/>
      <c r="E46" s="91">
        <f>PERC_MULTA_FGTS_AV_PREV_TRAB</f>
        <v>1.9019963200000001</v>
      </c>
      <c r="F46" s="143">
        <f>PERC_MULTA_FGTS_AV_PREV_TRAB%*(MOD_1_REMUNERACAO_44H+SUBMOD_2_1_DEC_TERC_ADIC_FERIAS_44H)</f>
        <v>33.8460245144</v>
      </c>
      <c r="G46" s="145">
        <f>PERC_MULTA_FGTS_AV_PREV_TRAB%*(MOD_1_REMUNERACAO_44H3+SUBMOD_2_1_DEC_TERC_ADIC_FERIAS_44H3)</f>
        <v>33.8460245144</v>
      </c>
    </row>
    <row r="47" spans="1:574" ht="16.5" customHeight="1" x14ac:dyDescent="0.3">
      <c r="A47" s="3"/>
      <c r="B47" s="272" t="s">
        <v>167</v>
      </c>
      <c r="C47" s="272"/>
      <c r="D47" s="272"/>
      <c r="E47" s="272"/>
      <c r="F47" s="112">
        <f>SUM(F41:F46)</f>
        <v>69.562964630844988</v>
      </c>
      <c r="G47" s="112">
        <f>SUM(G41:G46)</f>
        <v>69.562964630844988</v>
      </c>
    </row>
    <row r="48" spans="1:574" ht="7.5" customHeight="1" x14ac:dyDescent="0.3">
      <c r="A48" s="2"/>
      <c r="B48" s="114"/>
      <c r="C48" s="2"/>
      <c r="D48" s="27"/>
      <c r="E48" s="39"/>
      <c r="F48" s="3"/>
      <c r="G48" s="3"/>
    </row>
    <row r="49" spans="1:7" ht="15.75" customHeight="1" x14ac:dyDescent="0.3">
      <c r="A49" s="3"/>
      <c r="B49" s="38" t="s">
        <v>86</v>
      </c>
      <c r="C49" s="61"/>
      <c r="D49" s="62"/>
      <c r="E49" s="2"/>
      <c r="F49" s="3"/>
      <c r="G49" s="3"/>
    </row>
    <row r="50" spans="1:7" ht="15.75" customHeight="1" x14ac:dyDescent="0.3">
      <c r="A50" s="3"/>
      <c r="B50" s="38" t="s">
        <v>87</v>
      </c>
      <c r="C50" s="61"/>
      <c r="D50" s="62"/>
      <c r="E50" s="63"/>
      <c r="F50" s="3"/>
      <c r="G50" s="3"/>
    </row>
    <row r="51" spans="1:7" ht="16.5" customHeight="1" x14ac:dyDescent="0.25">
      <c r="A51" s="3"/>
      <c r="B51" s="5" t="s">
        <v>88</v>
      </c>
      <c r="C51" s="277" t="s">
        <v>89</v>
      </c>
      <c r="D51" s="277"/>
      <c r="E51" s="40" t="s">
        <v>90</v>
      </c>
      <c r="F51" s="40" t="s">
        <v>97</v>
      </c>
      <c r="G51" s="40" t="s">
        <v>97</v>
      </c>
    </row>
    <row r="52" spans="1:7" ht="15.75" customHeight="1" x14ac:dyDescent="0.25">
      <c r="A52" s="3"/>
      <c r="B52" s="40" t="s">
        <v>11</v>
      </c>
      <c r="C52" s="267" t="s">
        <v>180</v>
      </c>
      <c r="D52" s="267"/>
      <c r="E52" s="89">
        <f>PERC_SUBSTITUTO_FERIAS</f>
        <v>8.3333333333333321</v>
      </c>
      <c r="F52" s="143">
        <f>PERC_SUBSTITUTO_FERIAS%*(MOD_1_REMUNERACAO_44H+MOD_2_ENCARGOS_BENEFICIOS_44H)</f>
        <v>262.49024999999995</v>
      </c>
      <c r="G52" s="145">
        <f>PERC_SUBSTITUTO_FERIAS%*(MOD_1_REMUNERACAO_44H3+MOD_2_ENCARGOS_BENEFICIOS_44H3)</f>
        <v>262.49024999999995</v>
      </c>
    </row>
    <row r="53" spans="1:7" ht="15.75" customHeight="1" x14ac:dyDescent="0.25">
      <c r="A53" s="3"/>
      <c r="B53" s="40" t="s">
        <v>13</v>
      </c>
      <c r="C53" s="266" t="s">
        <v>182</v>
      </c>
      <c r="D53" s="266"/>
      <c r="E53" s="91">
        <f>PERC_SUBSTITUTO_AUSENCIAS_LEGAIS</f>
        <v>2.2222222222222223</v>
      </c>
      <c r="F53" s="143">
        <f>PERC_SUBSTITUTO_AUSENCIAS_LEGAIS%*(MOD_1_REMUNERACAO_44H+MOD_2_ENCARGOS_BENEFICIOS_44H)</f>
        <v>69.997399999999999</v>
      </c>
      <c r="G53" s="145">
        <f>PERC_SUBSTITUTO_AUSENCIAS_LEGAIS%*(MOD_1_REMUNERACAO_44H3+MOD_2_ENCARGOS_BENEFICIOS_44H3)</f>
        <v>69.997399999999999</v>
      </c>
    </row>
    <row r="54" spans="1:7" ht="15.75" customHeight="1" x14ac:dyDescent="0.25">
      <c r="A54" s="3"/>
      <c r="B54" s="40" t="s">
        <v>15</v>
      </c>
      <c r="C54" s="267" t="s">
        <v>184</v>
      </c>
      <c r="D54" s="267"/>
      <c r="E54" s="89">
        <f>PERC_SUBSTITUTO_LICENCA_PATERNIDADE</f>
        <v>1.7051833333333329E-2</v>
      </c>
      <c r="F54" s="143">
        <f>PERC_SUBSTITUTO_LICENCA_PATERNIDADE%*(MOD_1_REMUNERACAO_44H+MOD_2_ENCARGOS_BENEFICIOS_44H)</f>
        <v>0.53711279935499978</v>
      </c>
      <c r="G54" s="145">
        <f>PERC_SUBSTITUTO_LICENCA_PATERNIDADE%*(MOD_1_REMUNERACAO_44H3+MOD_2_ENCARGOS_BENEFICIOS_44H3)</f>
        <v>0.53711279935499978</v>
      </c>
    </row>
    <row r="55" spans="1:7" ht="16.5" customHeight="1" x14ac:dyDescent="0.25">
      <c r="A55" s="3"/>
      <c r="B55" s="40" t="s">
        <v>17</v>
      </c>
      <c r="C55" s="266" t="s">
        <v>186</v>
      </c>
      <c r="D55" s="266"/>
      <c r="E55" s="91">
        <f>PERC_SUBSTITUTO_ACID_TRAB</f>
        <v>1.85302229372558E-2</v>
      </c>
      <c r="F55" s="143">
        <f>PERC_SUBSTITUTO_ACID_TRAB%*(MOD_1_REMUNERACAO_44H+MOD_2_ENCARGOS_BENEFICIOS_44H)</f>
        <v>0.58368034216272102</v>
      </c>
      <c r="G55" s="145">
        <f>PERC_SUBSTITUTO_ACID_TRAB%*(MOD_1_REMUNERACAO_44H3+MOD_2_ENCARGOS_BENEFICIOS_44H3)</f>
        <v>0.58368034216272102</v>
      </c>
    </row>
    <row r="56" spans="1:7" ht="16.5" customHeight="1" x14ac:dyDescent="0.25">
      <c r="A56" s="3"/>
      <c r="B56" s="40" t="s">
        <v>19</v>
      </c>
      <c r="C56" s="267" t="s">
        <v>188</v>
      </c>
      <c r="D56" s="267"/>
      <c r="E56" s="89">
        <f>PERC_SUBSTITUTO_AFAST_MATERN</f>
        <v>2.3584874666666662E-2</v>
      </c>
      <c r="F56" s="143">
        <f>PERC_SUBSTITUTO_AFAST_MATERN%*(MOD_1_REMUNERACAO_44H+MOD_2_ENCARGOS_BENEFICIOS_44H)</f>
        <v>0.74289595769663985</v>
      </c>
      <c r="G56" s="145">
        <f>PERC_SUBSTITUTO_AFAST_MATERN%*(MOD_1_REMUNERACAO_44H3+MOD_2_ENCARGOS_BENEFICIOS_44H3)</f>
        <v>0.74289595769663985</v>
      </c>
    </row>
    <row r="57" spans="1:7" ht="16.5" customHeight="1" x14ac:dyDescent="0.25">
      <c r="A57" s="3"/>
      <c r="B57" s="40" t="s">
        <v>54</v>
      </c>
      <c r="C57" s="300" t="str">
        <f>OUTRAS_AUSENCIAS_DESCRICAO</f>
        <v>Outras Ausências (Especificar em %)</v>
      </c>
      <c r="D57" s="300"/>
      <c r="E57" s="115">
        <f>PERC_SUBSTITUTO_OUTRAS_AUSENCIAS</f>
        <v>0</v>
      </c>
      <c r="F57" s="143">
        <f>PERC_SUBSTITUTO_OUTRAS_AUSENCIAS%*(MOD_1_REMUNERACAO_44H+MOD_2_ENCARGOS_BENEFICIOS_44H)</f>
        <v>0</v>
      </c>
      <c r="G57" s="145">
        <f>PERC_SUBSTITUTO_OUTRAS_AUSENCIAS%*(MOD_1_REMUNERACAO_44H3+MOD_2_ENCARGOS_BENEFICIOS_44H3)</f>
        <v>0</v>
      </c>
    </row>
    <row r="58" spans="1:7" ht="16.5" customHeight="1" x14ac:dyDescent="0.3">
      <c r="A58" s="3"/>
      <c r="B58" s="272" t="s">
        <v>167</v>
      </c>
      <c r="C58" s="272"/>
      <c r="D58" s="272"/>
      <c r="E58" s="272"/>
      <c r="F58" s="112">
        <f>SUM(F52:F57)</f>
        <v>334.35133909921427</v>
      </c>
      <c r="G58" s="112">
        <f>SUM(G52:G57)</f>
        <v>334.35133909921427</v>
      </c>
    </row>
    <row r="59" spans="1:7" ht="7.5" customHeight="1" x14ac:dyDescent="0.3">
      <c r="A59" s="2"/>
      <c r="B59" s="114"/>
      <c r="C59" s="2"/>
      <c r="D59" s="27"/>
      <c r="E59" s="39"/>
      <c r="F59" s="3"/>
      <c r="G59" s="3"/>
    </row>
    <row r="60" spans="1:7" ht="16.5" customHeight="1" x14ac:dyDescent="0.3">
      <c r="A60" s="2"/>
      <c r="B60" s="38" t="s">
        <v>95</v>
      </c>
      <c r="C60" s="61"/>
      <c r="D60" s="61"/>
      <c r="E60" s="63"/>
      <c r="F60" s="3"/>
      <c r="G60" s="3"/>
    </row>
    <row r="61" spans="1:7" ht="15.75" customHeight="1" x14ac:dyDescent="0.3">
      <c r="A61" s="2"/>
      <c r="B61" s="64">
        <v>5</v>
      </c>
      <c r="C61" s="273" t="s">
        <v>96</v>
      </c>
      <c r="D61" s="273"/>
      <c r="E61" s="273"/>
      <c r="F61" s="65" t="s">
        <v>97</v>
      </c>
      <c r="G61" s="65" t="s">
        <v>97</v>
      </c>
    </row>
    <row r="62" spans="1:7" ht="16.5" customHeight="1" x14ac:dyDescent="0.3">
      <c r="A62" s="2"/>
      <c r="B62" s="66" t="s">
        <v>11</v>
      </c>
      <c r="C62" s="274" t="s">
        <v>98</v>
      </c>
      <c r="D62" s="274"/>
      <c r="E62" s="274"/>
      <c r="F62" s="162">
        <f>UNIFORMES</f>
        <v>84.899999999999991</v>
      </c>
      <c r="G62" s="164">
        <f>UNIFORMES3</f>
        <v>204.29000000000002</v>
      </c>
    </row>
    <row r="63" spans="1:7" ht="16.5" customHeight="1" x14ac:dyDescent="0.3">
      <c r="A63" s="2"/>
      <c r="B63" s="66" t="s">
        <v>13</v>
      </c>
      <c r="C63" s="275" t="s">
        <v>99</v>
      </c>
      <c r="D63" s="275"/>
      <c r="E63" s="275"/>
      <c r="F63" s="162">
        <f>MATERIAIS</f>
        <v>0</v>
      </c>
      <c r="G63" s="164">
        <f>MATERIAIS3</f>
        <v>0</v>
      </c>
    </row>
    <row r="64" spans="1:7" ht="16.5" customHeight="1" x14ac:dyDescent="0.3">
      <c r="A64" s="2"/>
      <c r="B64" s="66" t="s">
        <v>15</v>
      </c>
      <c r="C64" s="274" t="s">
        <v>100</v>
      </c>
      <c r="D64" s="274"/>
      <c r="E64" s="274"/>
      <c r="F64" s="162">
        <f>EQUIPAMENTOS</f>
        <v>0</v>
      </c>
      <c r="G64" s="164">
        <f>EQUIPAMENTOS3</f>
        <v>0</v>
      </c>
    </row>
    <row r="65" spans="1:7" ht="16.5" customHeight="1" x14ac:dyDescent="0.3">
      <c r="A65" s="2"/>
      <c r="B65" s="66" t="s">
        <v>17</v>
      </c>
      <c r="C65" s="305" t="str">
        <f>OUTROS_INSUMOS_DESCRICAO</f>
        <v>EPIs</v>
      </c>
      <c r="D65" s="305"/>
      <c r="E65" s="305"/>
      <c r="F65" s="162">
        <f>OUTROS_INSUMOS</f>
        <v>0</v>
      </c>
      <c r="G65" s="164">
        <f>OUTROS_INSUMOS3</f>
        <v>0</v>
      </c>
    </row>
    <row r="66" spans="1:7" ht="16.5" customHeight="1" x14ac:dyDescent="0.3">
      <c r="A66" s="2"/>
      <c r="B66" s="273" t="s">
        <v>167</v>
      </c>
      <c r="C66" s="273"/>
      <c r="D66" s="273"/>
      <c r="E66" s="273"/>
      <c r="F66" s="118">
        <f>SUM(F62:F65)</f>
        <v>84.899999999999991</v>
      </c>
      <c r="G66" s="118">
        <f>SUM(G62:G65)</f>
        <v>204.29000000000002</v>
      </c>
    </row>
    <row r="67" spans="1:7" ht="7.5" customHeight="1" x14ac:dyDescent="0.3">
      <c r="A67" s="2"/>
      <c r="B67" s="114"/>
      <c r="C67" s="2"/>
      <c r="D67" s="27"/>
      <c r="E67" s="39"/>
      <c r="F67" s="3"/>
      <c r="G67" s="3"/>
    </row>
    <row r="68" spans="1:7" ht="15" customHeight="1" x14ac:dyDescent="0.3">
      <c r="A68" s="2"/>
      <c r="B68" s="304" t="s">
        <v>102</v>
      </c>
      <c r="C68" s="304"/>
      <c r="D68" s="304"/>
      <c r="E68" s="304"/>
      <c r="F68" s="304"/>
      <c r="G68" s="3"/>
    </row>
    <row r="69" spans="1:7" ht="16.5" customHeight="1" x14ac:dyDescent="0.3">
      <c r="A69" s="2"/>
      <c r="B69" s="5">
        <v>6</v>
      </c>
      <c r="C69" s="272" t="s">
        <v>103</v>
      </c>
      <c r="D69" s="272"/>
      <c r="E69" s="40" t="s">
        <v>90</v>
      </c>
      <c r="F69" s="40" t="s">
        <v>97</v>
      </c>
      <c r="G69" s="40" t="s">
        <v>97</v>
      </c>
    </row>
    <row r="70" spans="1:7" ht="16.5" customHeight="1" x14ac:dyDescent="0.3">
      <c r="A70" s="2"/>
      <c r="B70" s="5" t="s">
        <v>11</v>
      </c>
      <c r="C70" s="267" t="s">
        <v>104</v>
      </c>
      <c r="D70" s="267"/>
      <c r="E70" s="119">
        <f>PERC_CUSTOS_INDIRETOS</f>
        <v>4.7300000000000004</v>
      </c>
      <c r="F70" s="143">
        <f>PERC_CUSTOS_INDIRETOS%*(MOD_1_REMUNERACAO_44H+MOD_2_ENCARGOS_BENEFICIOS_44H+MOD_3_PROVISAO_RESCISAO_44H+MOD_4_CUSTO_REPOSICAO_44H+MOD_5_INSUMOS_44H)</f>
        <v>172.11038246643179</v>
      </c>
      <c r="G70" s="145">
        <f>PERC_CUSTOS_INDIRETOS%*(MOD_1_REMUNERACAO_44H3+MOD_2_ENCARGOS_BENEFICIOS_44H3+MOD_3_PROVISAO_RESCISAO_44H3+MOD_4_CUSTO_REPOSICAO_44H3+MOD_5_INSUMOS_44H3)</f>
        <v>177.75752946643181</v>
      </c>
    </row>
    <row r="71" spans="1:7" ht="15.75" customHeight="1" x14ac:dyDescent="0.3">
      <c r="A71" s="2"/>
      <c r="B71" s="40" t="s">
        <v>13</v>
      </c>
      <c r="C71" s="266" t="s">
        <v>105</v>
      </c>
      <c r="D71" s="266"/>
      <c r="E71" s="120">
        <f>PERC_LUCRO</f>
        <v>5.57</v>
      </c>
      <c r="F71" s="143">
        <f>PERC_LUCRO%*(MOD_1_REMUNERACAO_44H+MOD_2_ENCARGOS_BENEFICIOS_44H+MOD_3_PROVISAO_RESCISAO_44H+MOD_4_CUSTO_REPOSICAO_44H+MOD_5_INSUMOS_44H+AL_6_A_CUSTOS_INDIRETOS_44H)</f>
        <v>212.26198812114455</v>
      </c>
      <c r="G71" s="145">
        <f>PERC_LUCRO%*(MOD_1_REMUNERACAO_44H3+MOD_2_ENCARGOS_BENEFICIOS_44H3+MOD_3_PROVISAO_RESCISAO_44H3+MOD_4_CUSTO_REPOSICAO_44H3+MOD_5_INSUMOS_44H3+AL_6_A_CUSTOS_INDIRETOS_44H3)</f>
        <v>219.22655720904453</v>
      </c>
    </row>
    <row r="72" spans="1:7" ht="16.5" customHeight="1" x14ac:dyDescent="0.3">
      <c r="A72" s="2"/>
      <c r="B72" s="40" t="s">
        <v>15</v>
      </c>
      <c r="C72" s="267" t="s">
        <v>206</v>
      </c>
      <c r="D72" s="267"/>
      <c r="E72" s="119">
        <f>SUM(E73:E75)</f>
        <v>8.65</v>
      </c>
      <c r="F72" s="143">
        <f>SUM(F73:F75)</f>
        <v>380.94748421289046</v>
      </c>
      <c r="G72" s="145">
        <f>SUM(G73:G75)</f>
        <v>393.44682569247811</v>
      </c>
    </row>
    <row r="73" spans="1:7" ht="15.75" customHeight="1" x14ac:dyDescent="0.3">
      <c r="A73" s="2"/>
      <c r="B73" s="75" t="s">
        <v>106</v>
      </c>
      <c r="C73" s="302" t="s">
        <v>107</v>
      </c>
      <c r="D73" s="302"/>
      <c r="E73" s="121">
        <f>PERC_PIS</f>
        <v>0.65</v>
      </c>
      <c r="F73" s="165">
        <f>((MOD_1_REMUNERACAO_44H+MOD_2_ENCARGOS_BENEFICIOS_44H+MOD_3_PROVISAO_RESCISAO_44H+MOD_4_CUSTO_REPOSICAO_44H+MOD_5_INSUMOS_44H+AL_6_A_CUSTOS_INDIRETOS_44H+AL_6_B_LUCRO_44H)*PERC_PIS%)/(1-PERC_TRIBUTOS%)</f>
        <v>28.626111530448419</v>
      </c>
      <c r="G73" s="167">
        <f>((MOD_1_REMUNERACAO_44H3+MOD_2_ENCARGOS_BENEFICIOS_44H3+MOD_3_PROVISAO_RESCISAO_44H3+MOD_4_CUSTO_REPOSICAO_44H3+MOD_5_INSUMOS_44H3+AL_6_A_CUSTOS_INDIRETOS_44H3+AL_6_B_LUCRO_44H3)*PERC_PIS%)/(1-PERC_TRIBUTOS%)</f>
        <v>29.565368404637088</v>
      </c>
    </row>
    <row r="74" spans="1:7" ht="16.5" customHeight="1" x14ac:dyDescent="0.3">
      <c r="A74" s="2"/>
      <c r="B74" s="75" t="s">
        <v>108</v>
      </c>
      <c r="C74" s="303" t="s">
        <v>109</v>
      </c>
      <c r="D74" s="303"/>
      <c r="E74" s="123">
        <f>PERC_COFINS</f>
        <v>3</v>
      </c>
      <c r="F74" s="165">
        <f>((MOD_1_REMUNERACAO_44H+MOD_2_ENCARGOS_BENEFICIOS_44H+MOD_3_PROVISAO_RESCISAO_44H+MOD_4_CUSTO_REPOSICAO_44H+MOD_5_INSUMOS_44H+AL_6_A_CUSTOS_INDIRETOS_44H+AL_6_B_LUCRO_44H)*PERC_COFINS%)/(1-PERC_TRIBUTOS%)</f>
        <v>132.12051475591576</v>
      </c>
      <c r="G74" s="167">
        <f>((MOD_1_REMUNERACAO_44H3+MOD_2_ENCARGOS_BENEFICIOS_44H3+MOD_3_PROVISAO_RESCISAO_44H3+MOD_4_CUSTO_REPOSICAO_44H3+MOD_5_INSUMOS_44H3+AL_6_A_CUSTOS_INDIRETOS_44H3+AL_6_B_LUCRO_44H3)*PERC_COFINS%)/(1-PERC_TRIBUTOS%)</f>
        <v>136.45554648294038</v>
      </c>
    </row>
    <row r="75" spans="1:7" ht="16.5" customHeight="1" x14ac:dyDescent="0.3">
      <c r="A75" s="70"/>
      <c r="B75" s="75" t="s">
        <v>110</v>
      </c>
      <c r="C75" s="302" t="s">
        <v>111</v>
      </c>
      <c r="D75" s="302"/>
      <c r="E75" s="121">
        <f>PERC_ISS</f>
        <v>5</v>
      </c>
      <c r="F75" s="165">
        <f>((MOD_1_REMUNERACAO_44H+MOD_2_ENCARGOS_BENEFICIOS_44H+MOD_3_PROVISAO_RESCISAO_44H+MOD_4_CUSTO_REPOSICAO_44H+MOD_5_INSUMOS_44H+AL_6_A_CUSTOS_INDIRETOS_44H+AL_6_B_LUCRO_44H)*PERC_ISS%)/(1-PERC_TRIBUTOS%)</f>
        <v>220.20085792652631</v>
      </c>
      <c r="G75" s="167">
        <f>((MOD_1_REMUNERACAO_44H3+MOD_2_ENCARGOS_BENEFICIOS_44H3+MOD_3_PROVISAO_RESCISAO_44H3+MOD_4_CUSTO_REPOSICAO_44H3+MOD_5_INSUMOS_44H3+AL_6_A_CUSTOS_INDIRETOS_44H3+AL_6_B_LUCRO_44H3)*PERC_ISS%)/(1-PERC_TRIBUTOS%)</f>
        <v>227.42591080490067</v>
      </c>
    </row>
    <row r="76" spans="1:7" ht="16.5" customHeight="1" x14ac:dyDescent="0.3">
      <c r="A76" s="70"/>
      <c r="B76" s="272" t="s">
        <v>167</v>
      </c>
      <c r="C76" s="272"/>
      <c r="D76" s="272"/>
      <c r="E76" s="272"/>
      <c r="F76" s="125">
        <f>AL_6_A_CUSTOS_INDIRETOS_44H+AL_6_B_LUCRO_44H+AL_6_C_TRIBUTOS_44H</f>
        <v>765.31985480046683</v>
      </c>
      <c r="G76" s="125">
        <f>AL_6_A_CUSTOS_INDIRETOS_44H3+AL_6_B_LUCRO_44H3+AL_6_C_TRIBUTOS_44H3</f>
        <v>790.43091236795442</v>
      </c>
    </row>
    <row r="77" spans="1:7" ht="16.5" customHeight="1" x14ac:dyDescent="0.3">
      <c r="A77" s="70"/>
      <c r="B77" s="126" t="s">
        <v>207</v>
      </c>
      <c r="C77" s="79"/>
      <c r="D77" s="79"/>
      <c r="E77" s="79"/>
      <c r="F77" s="3"/>
      <c r="G77" s="3"/>
    </row>
    <row r="78" spans="1:7" ht="16.5" customHeight="1" x14ac:dyDescent="0.3">
      <c r="A78" s="71"/>
      <c r="B78" s="40" t="s">
        <v>208</v>
      </c>
      <c r="C78" s="277" t="s">
        <v>209</v>
      </c>
      <c r="D78" s="277"/>
      <c r="E78" s="277"/>
      <c r="F78" s="40" t="s">
        <v>210</v>
      </c>
      <c r="G78" s="40" t="s">
        <v>210</v>
      </c>
    </row>
    <row r="79" spans="1:7" ht="16.5" customHeight="1" x14ac:dyDescent="0.3">
      <c r="A79" s="70"/>
      <c r="B79" s="5">
        <v>1</v>
      </c>
      <c r="C79" s="267" t="s">
        <v>47</v>
      </c>
      <c r="D79" s="267"/>
      <c r="E79" s="267"/>
      <c r="F79" s="143">
        <f>MOD_1_REMUNERACAO_44H</f>
        <v>1601.55</v>
      </c>
      <c r="G79" s="145">
        <f>MOD_1_REMUNERACAO_44H3</f>
        <v>1601.55</v>
      </c>
    </row>
    <row r="80" spans="1:7" ht="16.5" customHeight="1" x14ac:dyDescent="0.3">
      <c r="A80" s="128"/>
      <c r="B80" s="40">
        <v>2</v>
      </c>
      <c r="C80" s="266" t="s">
        <v>211</v>
      </c>
      <c r="D80" s="266"/>
      <c r="E80" s="266"/>
      <c r="F80" s="143">
        <f>MOD_2_ENCARGOS_BENEFICIOS_44H</f>
        <v>1548.3330000000001</v>
      </c>
      <c r="G80" s="145">
        <f>MOD_2_ENCARGOS_BENEFICIOS_44H3</f>
        <v>1548.3330000000001</v>
      </c>
    </row>
    <row r="81" spans="1:7" ht="16.5" customHeight="1" x14ac:dyDescent="0.3">
      <c r="A81" s="128"/>
      <c r="B81" s="40">
        <v>3</v>
      </c>
      <c r="C81" s="267" t="s">
        <v>132</v>
      </c>
      <c r="D81" s="267"/>
      <c r="E81" s="267"/>
      <c r="F81" s="143">
        <f>MOD_3_PROVISAO_RESCISAO_44H</f>
        <v>69.562964630844988</v>
      </c>
      <c r="G81" s="145">
        <f>MOD_3_PROVISAO_RESCISAO_44H3</f>
        <v>69.562964630844988</v>
      </c>
    </row>
    <row r="82" spans="1:7" ht="16.5" customHeight="1" x14ac:dyDescent="0.3">
      <c r="A82" s="128"/>
      <c r="B82" s="40">
        <v>4</v>
      </c>
      <c r="C82" s="266" t="s">
        <v>212</v>
      </c>
      <c r="D82" s="266"/>
      <c r="E82" s="266"/>
      <c r="F82" s="143">
        <f>MOD_4_CUSTO_REPOSICAO_44H</f>
        <v>334.35133909921427</v>
      </c>
      <c r="G82" s="145">
        <f>MOD_4_CUSTO_REPOSICAO_44H3</f>
        <v>334.35133909921427</v>
      </c>
    </row>
    <row r="83" spans="1:7" ht="16.5" customHeight="1" x14ac:dyDescent="0.3">
      <c r="A83" s="128"/>
      <c r="B83" s="40">
        <v>5</v>
      </c>
      <c r="C83" s="267" t="s">
        <v>96</v>
      </c>
      <c r="D83" s="267"/>
      <c r="E83" s="267"/>
      <c r="F83" s="143">
        <f>MOD_5_INSUMOS_44H</f>
        <v>84.899999999999991</v>
      </c>
      <c r="G83" s="145">
        <f>MOD_5_INSUMOS_44H3</f>
        <v>204.29000000000002</v>
      </c>
    </row>
    <row r="84" spans="1:7" ht="16.5" customHeight="1" x14ac:dyDescent="0.3">
      <c r="A84" s="128"/>
      <c r="B84" s="40">
        <v>6</v>
      </c>
      <c r="C84" s="266" t="s">
        <v>103</v>
      </c>
      <c r="D84" s="266"/>
      <c r="E84" s="266"/>
      <c r="F84" s="143">
        <f>MOD_6_CUSTOS_IND_LUCRO_TRIB_44H</f>
        <v>765.31985480046683</v>
      </c>
      <c r="G84" s="145">
        <f>MOD_6_CUSTOS_IND_LUCRO_TRIB_44H3</f>
        <v>790.43091236795442</v>
      </c>
    </row>
    <row r="85" spans="1:7" ht="16.5" customHeight="1" x14ac:dyDescent="0.3">
      <c r="A85" s="2"/>
      <c r="B85" s="277" t="s">
        <v>213</v>
      </c>
      <c r="C85" s="277"/>
      <c r="D85" s="277"/>
      <c r="E85" s="277"/>
      <c r="F85" s="125">
        <f>SUM(F79:F84)</f>
        <v>4404.0171585305261</v>
      </c>
      <c r="G85" s="125">
        <f>SUM(G79:G84)</f>
        <v>4548.518216098013</v>
      </c>
    </row>
    <row r="86" spans="1:7" ht="16.5" customHeight="1" x14ac:dyDescent="0.3">
      <c r="A86" s="2"/>
      <c r="B86" s="277" t="s">
        <v>214</v>
      </c>
      <c r="C86" s="277"/>
      <c r="D86" s="277"/>
      <c r="E86" s="277"/>
      <c r="F86" s="125">
        <f>VALOR_TOTAL_EMPREGADO_44H*EMPREG_POR_POSTO</f>
        <v>4404.0171585305261</v>
      </c>
      <c r="G86" s="125">
        <f>VALOR_TOTAL_EMPREGADO_44H3*EMPREG_POR_POSTO3</f>
        <v>4548.518216098013</v>
      </c>
    </row>
    <row r="87" spans="1:7" ht="16.5" customHeight="1" x14ac:dyDescent="0.3">
      <c r="A87" s="2"/>
      <c r="B87" s="277" t="s">
        <v>215</v>
      </c>
      <c r="C87" s="277"/>
      <c r="D87" s="277"/>
      <c r="E87" s="277"/>
      <c r="F87" s="125">
        <f>VALOR_TOTAL_EMPREGADO_44H*EMPREG_POR_POSTO*QTDE_POSTOS_ANS</f>
        <v>4404.0171585305261</v>
      </c>
      <c r="G87" s="125">
        <f>VALOR_TOTAL_EMPREGADO_44H3*EMPREG_POR_POSTO3*QTDE_POSTOS_ANS3</f>
        <v>4548.518216098013</v>
      </c>
    </row>
    <row r="88" spans="1:7" ht="16.5" customHeight="1" x14ac:dyDescent="0.3">
      <c r="A88" s="2"/>
      <c r="B88" s="2"/>
      <c r="C88" s="2"/>
      <c r="D88" s="2"/>
      <c r="E88" s="2"/>
      <c r="F88" s="2"/>
      <c r="G88" s="2"/>
    </row>
    <row r="89" spans="1:7" ht="16.5" customHeight="1" x14ac:dyDescent="0.3">
      <c r="A89" s="2"/>
      <c r="B89" s="2" t="s">
        <v>190</v>
      </c>
      <c r="C89" s="2"/>
      <c r="D89" s="2"/>
      <c r="E89" s="2"/>
      <c r="F89" s="2"/>
      <c r="G89" s="2"/>
    </row>
  </sheetData>
  <mergeCells count="73">
    <mergeCell ref="B2:H2"/>
    <mergeCell ref="B4:E4"/>
    <mergeCell ref="C6:E6"/>
    <mergeCell ref="C7:E7"/>
    <mergeCell ref="C8:E8"/>
    <mergeCell ref="C9:E9"/>
    <mergeCell ref="C10:E10"/>
    <mergeCell ref="C11:E11"/>
    <mergeCell ref="C12:E12"/>
    <mergeCell ref="B13:E13"/>
    <mergeCell ref="C16:D16"/>
    <mergeCell ref="C17:D17"/>
    <mergeCell ref="C18:D18"/>
    <mergeCell ref="B19:E19"/>
    <mergeCell ref="B20:F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B30:E30"/>
    <mergeCell ref="C32:E32"/>
    <mergeCell ref="C33:E33"/>
    <mergeCell ref="C34:E34"/>
    <mergeCell ref="C35:E35"/>
    <mergeCell ref="C36:E36"/>
    <mergeCell ref="C37:E37"/>
    <mergeCell ref="B38:E38"/>
    <mergeCell ref="C40:D40"/>
    <mergeCell ref="C41:D41"/>
    <mergeCell ref="C42:D42"/>
    <mergeCell ref="C43:D43"/>
    <mergeCell ref="C44:D44"/>
    <mergeCell ref="C45:D45"/>
    <mergeCell ref="C46:D46"/>
    <mergeCell ref="B47:E47"/>
    <mergeCell ref="C51:D51"/>
    <mergeCell ref="C52:D52"/>
    <mergeCell ref="C53:D53"/>
    <mergeCell ref="C54:D54"/>
    <mergeCell ref="C55:D55"/>
    <mergeCell ref="C56:D56"/>
    <mergeCell ref="C57:D57"/>
    <mergeCell ref="B58:E58"/>
    <mergeCell ref="C61:E61"/>
    <mergeCell ref="C62:E62"/>
    <mergeCell ref="C63:E63"/>
    <mergeCell ref="C64:E64"/>
    <mergeCell ref="C65:E65"/>
    <mergeCell ref="B66:E66"/>
    <mergeCell ref="B68:F68"/>
    <mergeCell ref="C69:D69"/>
    <mergeCell ref="C70:D70"/>
    <mergeCell ref="C71:D71"/>
    <mergeCell ref="C72:D72"/>
    <mergeCell ref="C73:D73"/>
    <mergeCell ref="C74:D74"/>
    <mergeCell ref="C75:D75"/>
    <mergeCell ref="B76:E76"/>
    <mergeCell ref="C78:E78"/>
    <mergeCell ref="C84:E84"/>
    <mergeCell ref="B85:E85"/>
    <mergeCell ref="B86:E86"/>
    <mergeCell ref="B87:E87"/>
    <mergeCell ref="C79:E79"/>
    <mergeCell ref="C80:E80"/>
    <mergeCell ref="C81:E81"/>
    <mergeCell ref="C82:E82"/>
    <mergeCell ref="C83:E83"/>
  </mergeCells>
  <conditionalFormatting sqref="F34:G34">
    <cfRule type="cellIs" dxfId="0" priority="2" operator="equal">
      <formula>"Insira o % do PAT"</formula>
    </cfRule>
  </conditionalFormatting>
  <printOptions horizontalCentered="1"/>
  <pageMargins left="0.19685039370078741" right="0.19685039370078741" top="0.19685039370078741" bottom="0.19685039370078741" header="0.31496062992125984" footer="0"/>
  <pageSetup paperSize="9" firstPageNumber="0" fitToHeight="0" orientation="landscape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I90"/>
  <sheetViews>
    <sheetView zoomScale="90" zoomScaleNormal="90" workbookViewId="0">
      <selection activeCell="B2" sqref="B2:H2"/>
    </sheetView>
  </sheetViews>
  <sheetFormatPr defaultRowHeight="14.25" x14ac:dyDescent="0.25"/>
  <cols>
    <col min="1" max="1" width="2.7109375" style="1" customWidth="1"/>
    <col min="2" max="2" width="8.85546875" style="1" customWidth="1"/>
    <col min="3" max="3" width="52.5703125" style="1" customWidth="1"/>
    <col min="4" max="4" width="15.7109375" style="1" customWidth="1"/>
    <col min="5" max="5" width="13.5703125" style="1" customWidth="1"/>
    <col min="6" max="6" width="17.85546875" style="1" customWidth="1"/>
    <col min="7" max="7" width="1" style="1" customWidth="1"/>
    <col min="8" max="8" width="12.5703125" style="1" hidden="1" customWidth="1"/>
    <col min="9" max="992" width="12.5703125" style="1" customWidth="1"/>
    <col min="993" max="1025" width="11.5703125"/>
  </cols>
  <sheetData>
    <row r="1" spans="1:8" ht="15" customHeight="1" x14ac:dyDescent="0.3">
      <c r="A1" s="3"/>
      <c r="B1" s="132"/>
      <c r="C1" s="133"/>
      <c r="D1" s="133"/>
      <c r="E1" s="133"/>
      <c r="F1" s="134"/>
      <c r="G1" s="3"/>
      <c r="H1" s="3"/>
    </row>
    <row r="2" spans="1:8" ht="20.25" customHeight="1" x14ac:dyDescent="0.35">
      <c r="A2" s="105"/>
      <c r="B2" s="325" t="s">
        <v>239</v>
      </c>
      <c r="C2" s="325"/>
      <c r="D2" s="325"/>
      <c r="E2" s="325"/>
      <c r="F2" s="325"/>
      <c r="G2" s="325"/>
      <c r="H2" s="325"/>
    </row>
    <row r="3" spans="1:8" ht="7.5" customHeight="1" x14ac:dyDescent="0.25"/>
    <row r="4" spans="1:8" s="136" customFormat="1" ht="16.5" customHeight="1" x14ac:dyDescent="0.3">
      <c r="A4" s="2"/>
      <c r="B4" s="272" t="s">
        <v>198</v>
      </c>
      <c r="C4" s="272"/>
      <c r="D4" s="272"/>
      <c r="E4" s="272"/>
      <c r="F4" s="135">
        <f>IF(EMPREG_POR_POSTO="","",EMPREG_POR_POSTO)</f>
        <v>1</v>
      </c>
    </row>
    <row r="5" spans="1:8" ht="16.5" customHeight="1" x14ac:dyDescent="0.3">
      <c r="A5" s="2"/>
      <c r="B5" s="38" t="s">
        <v>46</v>
      </c>
      <c r="C5" s="2"/>
      <c r="D5" s="2"/>
      <c r="E5" s="39"/>
      <c r="F5" s="169" t="s">
        <v>24</v>
      </c>
    </row>
    <row r="6" spans="1:8" ht="16.5" customHeight="1" x14ac:dyDescent="0.3">
      <c r="A6" s="2"/>
      <c r="B6" s="5">
        <v>1</v>
      </c>
      <c r="C6" s="277" t="s">
        <v>47</v>
      </c>
      <c r="D6" s="277"/>
      <c r="E6" s="277"/>
      <c r="F6" s="40" t="s">
        <v>97</v>
      </c>
    </row>
    <row r="7" spans="1:8" ht="16.5" customHeight="1" x14ac:dyDescent="0.3">
      <c r="A7" s="2"/>
      <c r="B7" s="5" t="s">
        <v>11</v>
      </c>
      <c r="C7" s="279" t="s">
        <v>199</v>
      </c>
      <c r="D7" s="279"/>
      <c r="E7" s="279"/>
      <c r="F7" s="139">
        <f>SALARIO_BASE3</f>
        <v>1601.55</v>
      </c>
    </row>
    <row r="8" spans="1:8" ht="16.5" customHeight="1" x14ac:dyDescent="0.3">
      <c r="A8" s="2"/>
      <c r="B8" s="5" t="s">
        <v>13</v>
      </c>
      <c r="C8" s="266" t="s">
        <v>200</v>
      </c>
      <c r="D8" s="266"/>
      <c r="E8" s="266"/>
      <c r="F8" s="139">
        <f>PERC_ADIC_PERIC3%*SALARIO_BASE3</f>
        <v>0</v>
      </c>
    </row>
    <row r="9" spans="1:8" ht="15.75" customHeight="1" x14ac:dyDescent="0.3">
      <c r="A9" s="2"/>
      <c r="B9" s="5" t="s">
        <v>15</v>
      </c>
      <c r="C9" s="267" t="s">
        <v>203</v>
      </c>
      <c r="D9" s="267"/>
      <c r="E9" s="267"/>
      <c r="F9" s="139">
        <f>PERC_ADIC_INS%*SAL_MINIMO</f>
        <v>0</v>
      </c>
    </row>
    <row r="10" spans="1:8" ht="16.5" customHeight="1" x14ac:dyDescent="0.3">
      <c r="A10" s="2"/>
      <c r="B10" s="5" t="s">
        <v>17</v>
      </c>
      <c r="C10" s="283" t="str">
        <f>OUTROS_REMUNERACAO_1_DESCRICAO</f>
        <v>Outras Remunerações 1 (Especificar)</v>
      </c>
      <c r="D10" s="283"/>
      <c r="E10" s="283"/>
      <c r="F10" s="139">
        <f>OUTROS_REMUNERACAO_3</f>
        <v>0</v>
      </c>
    </row>
    <row r="11" spans="1:8" ht="16.5" customHeight="1" x14ac:dyDescent="0.3">
      <c r="A11" s="2"/>
      <c r="B11" s="5" t="s">
        <v>19</v>
      </c>
      <c r="C11" s="279" t="str">
        <f>OUTROS_REMUNERACAO_2_DESCRICAO</f>
        <v>Outras Remunerações 2 (Especificar)</v>
      </c>
      <c r="D11" s="279"/>
      <c r="E11" s="279"/>
      <c r="F11" s="139">
        <f>OUTROS_REMUNERACAO_23</f>
        <v>0</v>
      </c>
    </row>
    <row r="12" spans="1:8" ht="16.5" customHeight="1" x14ac:dyDescent="0.3">
      <c r="A12" s="2"/>
      <c r="B12" s="5" t="s">
        <v>54</v>
      </c>
      <c r="C12" s="283" t="str">
        <f>OUTROS_REMUNERACAO_3_DESCRICAO</f>
        <v>Outras Remunerações 3 (Especificar)</v>
      </c>
      <c r="D12" s="283"/>
      <c r="E12" s="283"/>
      <c r="F12" s="139">
        <f>OUTROS_REMUNERACAO_33</f>
        <v>0</v>
      </c>
    </row>
    <row r="13" spans="1:8" ht="16.5" customHeight="1" x14ac:dyDescent="0.3">
      <c r="A13" s="2"/>
      <c r="B13" s="277" t="s">
        <v>167</v>
      </c>
      <c r="C13" s="277"/>
      <c r="D13" s="277"/>
      <c r="E13" s="277"/>
      <c r="F13" s="109">
        <f>SUM(F7:F12)</f>
        <v>1601.55</v>
      </c>
    </row>
    <row r="14" spans="1:8" ht="16.5" customHeight="1" x14ac:dyDescent="0.3">
      <c r="A14" s="2"/>
      <c r="B14" s="38" t="s">
        <v>58</v>
      </c>
      <c r="C14" s="2"/>
      <c r="D14" s="2"/>
      <c r="E14" s="49"/>
      <c r="F14" s="131"/>
    </row>
    <row r="15" spans="1:8" ht="16.5" customHeight="1" x14ac:dyDescent="0.3">
      <c r="A15" s="2"/>
      <c r="B15" s="38" t="s">
        <v>149</v>
      </c>
      <c r="C15" s="61"/>
      <c r="D15" s="62"/>
      <c r="E15" s="63"/>
      <c r="F15" s="142"/>
    </row>
    <row r="16" spans="1:8" ht="16.5" customHeight="1" x14ac:dyDescent="0.3">
      <c r="A16" s="2"/>
      <c r="B16" s="5" t="s">
        <v>150</v>
      </c>
      <c r="C16" s="272" t="s">
        <v>151</v>
      </c>
      <c r="D16" s="272"/>
      <c r="E16" s="40" t="s">
        <v>90</v>
      </c>
      <c r="F16" s="40" t="s">
        <v>97</v>
      </c>
    </row>
    <row r="17" spans="1:6" ht="16.5" customHeight="1" x14ac:dyDescent="0.3">
      <c r="A17" s="2"/>
      <c r="B17" s="5" t="s">
        <v>11</v>
      </c>
      <c r="C17" s="267" t="s">
        <v>153</v>
      </c>
      <c r="D17" s="267"/>
      <c r="E17" s="89">
        <f>PERC_DEC_TERC</f>
        <v>8.3333333333333321</v>
      </c>
      <c r="F17" s="145">
        <f>PERC_DEC_TERC%*MOD_1_REMUNERACAO_44H3</f>
        <v>133.46249999999998</v>
      </c>
    </row>
    <row r="18" spans="1:6" ht="16.5" customHeight="1" x14ac:dyDescent="0.3">
      <c r="A18" s="2"/>
      <c r="B18" s="40" t="s">
        <v>13</v>
      </c>
      <c r="C18" s="266" t="s">
        <v>155</v>
      </c>
      <c r="D18" s="266"/>
      <c r="E18" s="90">
        <f>PERC_ADIC_FERIAS</f>
        <v>2.7777777777777777</v>
      </c>
      <c r="F18" s="145">
        <f>PERC_ADIC_FERIAS%*MOD_1_REMUNERACAO_44H3</f>
        <v>44.487499999999997</v>
      </c>
    </row>
    <row r="19" spans="1:6" ht="16.5" customHeight="1" x14ac:dyDescent="0.3">
      <c r="A19" s="48"/>
      <c r="B19" s="272" t="s">
        <v>167</v>
      </c>
      <c r="C19" s="272"/>
      <c r="D19" s="272"/>
      <c r="E19" s="272"/>
      <c r="F19" s="112">
        <f>SUM(F17:F18)</f>
        <v>177.95</v>
      </c>
    </row>
    <row r="20" spans="1:6" ht="31.5" customHeight="1" x14ac:dyDescent="0.3">
      <c r="A20" s="48"/>
      <c r="B20" s="271" t="s">
        <v>157</v>
      </c>
      <c r="C20" s="271"/>
      <c r="D20" s="271"/>
      <c r="E20" s="271"/>
      <c r="F20" s="147"/>
    </row>
    <row r="21" spans="1:6" ht="34.5" customHeight="1" x14ac:dyDescent="0.3">
      <c r="A21" s="48"/>
      <c r="B21" s="5" t="s">
        <v>60</v>
      </c>
      <c r="C21" s="277" t="s">
        <v>158</v>
      </c>
      <c r="D21" s="277"/>
      <c r="E21" s="40" t="s">
        <v>90</v>
      </c>
      <c r="F21" s="40" t="s">
        <v>97</v>
      </c>
    </row>
    <row r="22" spans="1:6" ht="16.5" customHeight="1" x14ac:dyDescent="0.3">
      <c r="A22" s="2"/>
      <c r="B22" s="5" t="s">
        <v>11</v>
      </c>
      <c r="C22" s="267" t="s">
        <v>159</v>
      </c>
      <c r="D22" s="267"/>
      <c r="E22" s="89">
        <f>PERC_INSS</f>
        <v>20</v>
      </c>
      <c r="F22" s="145">
        <f>PERC_INSS%*(MOD_1_REMUNERACAO_44H3+SUBMOD_2_1_DEC_TERC_ADIC_FERIAS_44H3)</f>
        <v>355.90000000000003</v>
      </c>
    </row>
    <row r="23" spans="1:6" ht="16.5" customHeight="1" x14ac:dyDescent="0.25">
      <c r="A23" s="3"/>
      <c r="B23" s="40" t="s">
        <v>13</v>
      </c>
      <c r="C23" s="266" t="s">
        <v>160</v>
      </c>
      <c r="D23" s="266"/>
      <c r="E23" s="91">
        <f>PERC_SAL_EDUCACAO</f>
        <v>2.5</v>
      </c>
      <c r="F23" s="145">
        <f>PERC_SAL_EDUCACAO%*(MOD_1_REMUNERACAO_44H3+SUBMOD_2_1_DEC_TERC_ADIC_FERIAS_44H3)</f>
        <v>44.487500000000004</v>
      </c>
    </row>
    <row r="24" spans="1:6" ht="16.5" customHeight="1" x14ac:dyDescent="0.25">
      <c r="A24" s="3"/>
      <c r="B24" s="40" t="s">
        <v>15</v>
      </c>
      <c r="C24" s="267" t="s">
        <v>161</v>
      </c>
      <c r="D24" s="267"/>
      <c r="E24" s="89">
        <f>PERC_RAT</f>
        <v>3</v>
      </c>
      <c r="F24" s="145">
        <f>PERC_RAT%*(MOD_1_REMUNERACAO_44H3+SUBMOD_2_1_DEC_TERC_ADIC_FERIAS_44H3)</f>
        <v>53.384999999999998</v>
      </c>
    </row>
    <row r="25" spans="1:6" ht="16.5" customHeight="1" x14ac:dyDescent="0.25">
      <c r="A25" s="3"/>
      <c r="B25" s="40" t="s">
        <v>17</v>
      </c>
      <c r="C25" s="266" t="s">
        <v>162</v>
      </c>
      <c r="D25" s="266"/>
      <c r="E25" s="90">
        <f>PERC_SESC</f>
        <v>1.5</v>
      </c>
      <c r="F25" s="145">
        <f>PERC_SESC%*(MOD_1_REMUNERACAO_44H3+SUBMOD_2_1_DEC_TERC_ADIC_FERIAS_44H3)</f>
        <v>26.692499999999999</v>
      </c>
    </row>
    <row r="26" spans="1:6" ht="16.5" customHeight="1" x14ac:dyDescent="0.25">
      <c r="A26" s="3"/>
      <c r="B26" s="40" t="s">
        <v>19</v>
      </c>
      <c r="C26" s="267" t="s">
        <v>163</v>
      </c>
      <c r="D26" s="267"/>
      <c r="E26" s="89">
        <f>PERC_SENAC</f>
        <v>1</v>
      </c>
      <c r="F26" s="145">
        <f>PERC_SENAC%*(MOD_1_REMUNERACAO_44H3+SUBMOD_2_1_DEC_TERC_ADIC_FERIAS_44H3)</f>
        <v>17.795000000000002</v>
      </c>
    </row>
    <row r="27" spans="1:6" ht="16.5" customHeight="1" x14ac:dyDescent="0.25">
      <c r="A27" s="3"/>
      <c r="B27" s="40" t="s">
        <v>54</v>
      </c>
      <c r="C27" s="266" t="s">
        <v>164</v>
      </c>
      <c r="D27" s="266"/>
      <c r="E27" s="91">
        <f>PERC_SEBRAE</f>
        <v>0.6</v>
      </c>
      <c r="F27" s="145">
        <f>PERC_SEBRAE%*(MOD_1_REMUNERACAO_44H3+SUBMOD_2_1_DEC_TERC_ADIC_FERIAS_44H3)</f>
        <v>10.677</v>
      </c>
    </row>
    <row r="28" spans="1:6" ht="16.5" customHeight="1" x14ac:dyDescent="0.25">
      <c r="A28" s="3"/>
      <c r="B28" s="40" t="s">
        <v>56</v>
      </c>
      <c r="C28" s="267" t="s">
        <v>165</v>
      </c>
      <c r="D28" s="267"/>
      <c r="E28" s="89">
        <f>PERC_INCRA</f>
        <v>0.2</v>
      </c>
      <c r="F28" s="145">
        <f>PERC_INCRA%*(MOD_1_REMUNERACAO_44H3+SUBMOD_2_1_DEC_TERC_ADIC_FERIAS_44H3)</f>
        <v>3.5590000000000002</v>
      </c>
    </row>
    <row r="29" spans="1:6" ht="16.5" customHeight="1" x14ac:dyDescent="0.3">
      <c r="A29" s="2"/>
      <c r="B29" s="40" t="s">
        <v>146</v>
      </c>
      <c r="C29" s="266" t="s">
        <v>166</v>
      </c>
      <c r="D29" s="266"/>
      <c r="E29" s="91">
        <f>PERC_FGTS</f>
        <v>8</v>
      </c>
      <c r="F29" s="145">
        <f>PERC_FGTS%*(MOD_1_REMUNERACAO_44H3+SUBMOD_2_1_DEC_TERC_ADIC_FERIAS_44H3)</f>
        <v>142.36000000000001</v>
      </c>
    </row>
    <row r="30" spans="1:6" ht="16.5" customHeight="1" x14ac:dyDescent="0.3">
      <c r="A30" s="2"/>
      <c r="B30" s="277" t="s">
        <v>167</v>
      </c>
      <c r="C30" s="277"/>
      <c r="D30" s="277"/>
      <c r="E30" s="277"/>
      <c r="F30" s="113">
        <f>SUM(F22:F29)</f>
        <v>654.85600000000011</v>
      </c>
    </row>
    <row r="31" spans="1:6" ht="15.75" customHeight="1" x14ac:dyDescent="0.3">
      <c r="A31" s="2"/>
      <c r="B31" s="38" t="s">
        <v>64</v>
      </c>
      <c r="C31" s="3"/>
      <c r="D31" s="3"/>
      <c r="E31" s="3"/>
      <c r="F31" s="3"/>
    </row>
    <row r="32" spans="1:6" ht="15.75" customHeight="1" x14ac:dyDescent="0.3">
      <c r="A32" s="2"/>
      <c r="B32" s="5" t="s">
        <v>65</v>
      </c>
      <c r="C32" s="277" t="s">
        <v>66</v>
      </c>
      <c r="D32" s="277"/>
      <c r="E32" s="277"/>
      <c r="F32" s="40" t="s">
        <v>97</v>
      </c>
    </row>
    <row r="33" spans="1:1023" ht="16.5" customHeight="1" x14ac:dyDescent="0.3">
      <c r="A33" s="2"/>
      <c r="B33" s="148" t="s">
        <v>11</v>
      </c>
      <c r="C33" s="322" t="s">
        <v>204</v>
      </c>
      <c r="D33" s="322"/>
      <c r="E33" s="322"/>
      <c r="F33" s="151">
        <f>IF(((TRANSPORTE_POR_DIA_LUZ3*DIAS_UTEIS_TRABALHADOS_NO_MES_44HORAS)-(PERC_DESC_TRANSP_REMUNERACAO%*(AL_1_A_SAL_BASE_44H3)))&gt;0,((TRANSPORTE_POR_DIA_LUZ3*DIAS_UTEIS_TRABALHADOS_NO_MES_44HORAS)-(PERC_DESC_TRANSP_REMUNERACAO%*(AL_1_A_SAL_BASE_44H3))),0)</f>
        <v>0</v>
      </c>
    </row>
    <row r="34" spans="1:1023" s="156" customFormat="1" ht="16.5" customHeight="1" x14ac:dyDescent="0.3">
      <c r="A34" s="54"/>
      <c r="B34" s="158" t="s">
        <v>13</v>
      </c>
      <c r="C34" s="283" t="s">
        <v>72</v>
      </c>
      <c r="D34" s="283"/>
      <c r="E34" s="283"/>
      <c r="F34" s="161">
        <f>IF(AND(ADESAO_AO_PAT="Sim",PERC_PAT&lt;&gt;""),ALIMENTACAO_POR_DIA3*DIAS_UTEIS_TRABALHADOS_NO_MES_44HORAS*(100-PERC_PAT)%,IF(AND(ADESAO_AO_PAT="Sim",PERC_PAT=""),"Insira o % do PAT",ALIMENTACAO_POR_DIA*DIAS_UTEIS_TRABALHADOS_NO_MES_44HORAS))*(1-11%)</f>
        <v>467.25</v>
      </c>
      <c r="ALD34" s="157"/>
      <c r="ALE34" s="157"/>
      <c r="ALF34" s="157"/>
      <c r="ALG34" s="157"/>
      <c r="ALH34" s="157"/>
      <c r="ALI34" s="157"/>
      <c r="ALJ34" s="157"/>
      <c r="ALK34" s="157"/>
      <c r="ALL34" s="157"/>
      <c r="ALM34" s="157"/>
      <c r="ALN34" s="157"/>
      <c r="ALO34" s="157"/>
      <c r="ALP34" s="157"/>
      <c r="ALQ34" s="157"/>
      <c r="ALR34" s="157"/>
      <c r="ALS34" s="157"/>
      <c r="ALT34" s="157"/>
      <c r="ALU34" s="157"/>
      <c r="ALV34" s="157"/>
      <c r="ALW34" s="157"/>
      <c r="ALX34" s="157"/>
      <c r="ALY34" s="157"/>
      <c r="ALZ34" s="157"/>
      <c r="AMA34" s="157"/>
      <c r="AMB34" s="157"/>
      <c r="AMC34" s="157"/>
      <c r="AMD34" s="157"/>
      <c r="AME34" s="157"/>
      <c r="AMF34" s="157"/>
      <c r="AMG34" s="157"/>
      <c r="AMH34" s="157"/>
      <c r="AMI34" s="157"/>
    </row>
    <row r="35" spans="1:1023" ht="16.5" customHeight="1" x14ac:dyDescent="0.3">
      <c r="A35" s="48"/>
      <c r="B35" s="158" t="s">
        <v>15</v>
      </c>
      <c r="C35" s="324" t="str">
        <f>OUTROS_BENEFICIOS_1_DESCRICAO</f>
        <v>Amparo Familiar</v>
      </c>
      <c r="D35" s="324"/>
      <c r="E35" s="324"/>
      <c r="F35" s="161">
        <f>OUTROS_BENEFICIOS_13</f>
        <v>16</v>
      </c>
    </row>
    <row r="36" spans="1:1023" ht="16.5" customHeight="1" x14ac:dyDescent="0.3">
      <c r="A36" s="48"/>
      <c r="B36" s="4" t="s">
        <v>17</v>
      </c>
      <c r="C36" s="283" t="str">
        <f>OUTROS_BENEFICIOS_2_DESCRICAO</f>
        <v>Cota de Aprendizagem</v>
      </c>
      <c r="D36" s="283"/>
      <c r="E36" s="283"/>
      <c r="F36" s="145">
        <f>OUTROS_BENEFICIOS_23</f>
        <v>72.37</v>
      </c>
    </row>
    <row r="37" spans="1:1023" ht="16.5" customHeight="1" x14ac:dyDescent="0.3">
      <c r="A37" s="48"/>
      <c r="B37" s="4" t="s">
        <v>19</v>
      </c>
      <c r="C37" s="279" t="str">
        <f>OUTROS_BENEFICIOS_3_DESCRICAO</f>
        <v>Seguro de vida</v>
      </c>
      <c r="D37" s="279"/>
      <c r="E37" s="279"/>
      <c r="F37" s="145">
        <f>OUTROS_BENEFICIOS_33</f>
        <v>4</v>
      </c>
    </row>
    <row r="38" spans="1:1023" ht="15" customHeight="1" x14ac:dyDescent="0.3">
      <c r="A38" s="48"/>
      <c r="B38" s="277" t="s">
        <v>167</v>
      </c>
      <c r="C38" s="277"/>
      <c r="D38" s="277"/>
      <c r="E38" s="277"/>
      <c r="F38" s="109">
        <f>SUM(F33:F37)</f>
        <v>559.62</v>
      </c>
    </row>
    <row r="39" spans="1:1023" ht="16.5" customHeight="1" x14ac:dyDescent="0.3">
      <c r="A39" s="48"/>
      <c r="B39" s="38" t="s">
        <v>131</v>
      </c>
      <c r="C39" s="61"/>
      <c r="D39" s="62"/>
      <c r="E39" s="63"/>
      <c r="F39" s="3"/>
    </row>
    <row r="40" spans="1:1023" ht="15" customHeight="1" x14ac:dyDescent="0.3">
      <c r="A40" s="48"/>
      <c r="B40" s="5">
        <v>3</v>
      </c>
      <c r="C40" s="272" t="s">
        <v>132</v>
      </c>
      <c r="D40" s="272"/>
      <c r="E40" s="40" t="s">
        <v>90</v>
      </c>
      <c r="F40" s="40" t="s">
        <v>97</v>
      </c>
    </row>
    <row r="41" spans="1:1023" ht="16.5" customHeight="1" x14ac:dyDescent="0.3">
      <c r="A41" s="48"/>
      <c r="B41" s="5" t="s">
        <v>11</v>
      </c>
      <c r="C41" s="282" t="s">
        <v>168</v>
      </c>
      <c r="D41" s="282"/>
      <c r="E41" s="89">
        <f>PERC_AVISO_PREVIO_IND</f>
        <v>0.29105124999999998</v>
      </c>
      <c r="F41" s="145">
        <f>PERC_AVISO_PREVIO_IND%*(MOD_1_REMUNERACAO_44H3+SUBMOD_2_1_DEC_TERC_ADIC_FERIAS_44H3)</f>
        <v>5.1792569937499993</v>
      </c>
    </row>
    <row r="42" spans="1:1023" ht="16.5" customHeight="1" x14ac:dyDescent="0.3">
      <c r="A42" s="48"/>
      <c r="B42" s="40" t="s">
        <v>13</v>
      </c>
      <c r="C42" s="286" t="s">
        <v>170</v>
      </c>
      <c r="D42" s="286"/>
      <c r="E42" s="91">
        <f>INCID_FGTS_SOBRE_API</f>
        <v>2.3284099999999999E-2</v>
      </c>
      <c r="F42" s="145">
        <f>INCID_FGTS_SOBRE_API%*(MOD_1_REMUNERACAO_44H3+SUBMOD_2_1_DEC_TERC_ADIC_FERIAS_44H3)</f>
        <v>0.41434055949999998</v>
      </c>
    </row>
    <row r="43" spans="1:1023" ht="16.5" customHeight="1" x14ac:dyDescent="0.25">
      <c r="A43" s="3"/>
      <c r="B43" s="40" t="s">
        <v>15</v>
      </c>
      <c r="C43" s="282" t="s">
        <v>172</v>
      </c>
      <c r="D43" s="282"/>
      <c r="E43" s="89">
        <f>PERC_MULTA_FGTS_AV_PREV_IND</f>
        <v>0.11176368</v>
      </c>
      <c r="F43" s="145">
        <f>PERC_MULTA_FGTS_AV_PREV_IND%*(MOD_1_REMUNERACAO_44H3+SUBMOD_2_1_DEC_TERC_ADIC_FERIAS_44H3)</f>
        <v>1.9888346856000001</v>
      </c>
    </row>
    <row r="44" spans="1:1023" ht="16.5" customHeight="1" x14ac:dyDescent="0.25">
      <c r="A44" s="3"/>
      <c r="B44" s="40" t="s">
        <v>17</v>
      </c>
      <c r="C44" s="286" t="s">
        <v>174</v>
      </c>
      <c r="D44" s="286"/>
      <c r="E44" s="91">
        <f>PERC_AVISO_PREVIO_TRAB</f>
        <v>1.1557269305555555</v>
      </c>
      <c r="F44" s="145">
        <f>PERC_AVISO_PREVIO_TRAB%*(MOD_1_REMUNERACAO_44H3+SUBMOD_2_1_DEC_TERC_ADIC_FERIAS_44H3)</f>
        <v>20.56616072923611</v>
      </c>
    </row>
    <row r="45" spans="1:1023" ht="16.5" customHeight="1" x14ac:dyDescent="0.25">
      <c r="A45" s="3"/>
      <c r="B45" s="40" t="s">
        <v>19</v>
      </c>
      <c r="C45" s="282" t="s">
        <v>176</v>
      </c>
      <c r="D45" s="282"/>
      <c r="E45" s="89">
        <f>INCID_SUBMOD_2_2_APT</f>
        <v>0.42530751044444437</v>
      </c>
      <c r="F45" s="145">
        <f>INCID_SUBMOD_2_2_APT%*(MOD_1_REMUNERACAO_44H3+SUBMOD_2_1_DEC_TERC_ADIC_FERIAS_44H3)</f>
        <v>7.568347148358888</v>
      </c>
    </row>
    <row r="46" spans="1:1023" ht="16.5" customHeight="1" x14ac:dyDescent="0.25">
      <c r="A46" s="3"/>
      <c r="B46" s="40" t="s">
        <v>54</v>
      </c>
      <c r="C46" s="286" t="s">
        <v>178</v>
      </c>
      <c r="D46" s="286"/>
      <c r="E46" s="91">
        <f>PERC_MULTA_FGTS_AV_PREV_TRAB</f>
        <v>1.9019963200000001</v>
      </c>
      <c r="F46" s="145">
        <f>PERC_MULTA_FGTS_AV_PREV_TRAB%*(MOD_1_REMUNERACAO_44H3+SUBMOD_2_1_DEC_TERC_ADIC_FERIAS_44H3)</f>
        <v>33.8460245144</v>
      </c>
    </row>
    <row r="47" spans="1:1023" ht="16.5" customHeight="1" x14ac:dyDescent="0.3">
      <c r="A47" s="3"/>
      <c r="B47" s="272" t="s">
        <v>167</v>
      </c>
      <c r="C47" s="272"/>
      <c r="D47" s="272"/>
      <c r="E47" s="272"/>
      <c r="F47" s="112">
        <f>SUM(F41:F46)</f>
        <v>69.562964630844988</v>
      </c>
    </row>
    <row r="48" spans="1:1023" ht="7.5" customHeight="1" x14ac:dyDescent="0.3">
      <c r="A48" s="2"/>
      <c r="B48" s="114"/>
      <c r="C48" s="2"/>
      <c r="D48" s="27"/>
      <c r="E48" s="39"/>
      <c r="F48" s="3"/>
    </row>
    <row r="49" spans="1:6" ht="15.75" customHeight="1" x14ac:dyDescent="0.3">
      <c r="A49" s="3"/>
      <c r="B49" s="38" t="s">
        <v>86</v>
      </c>
      <c r="C49" s="61"/>
      <c r="D49" s="62"/>
      <c r="E49" s="2"/>
      <c r="F49" s="3"/>
    </row>
    <row r="50" spans="1:6" ht="15.75" customHeight="1" x14ac:dyDescent="0.3">
      <c r="A50" s="3"/>
      <c r="B50" s="38" t="s">
        <v>87</v>
      </c>
      <c r="C50" s="61"/>
      <c r="D50" s="62"/>
      <c r="E50" s="63"/>
      <c r="F50" s="3"/>
    </row>
    <row r="51" spans="1:6" ht="16.5" customHeight="1" x14ac:dyDescent="0.25">
      <c r="A51" s="3"/>
      <c r="B51" s="5" t="s">
        <v>88</v>
      </c>
      <c r="C51" s="277" t="s">
        <v>89</v>
      </c>
      <c r="D51" s="277"/>
      <c r="E51" s="40" t="s">
        <v>90</v>
      </c>
      <c r="F51" s="40" t="s">
        <v>97</v>
      </c>
    </row>
    <row r="52" spans="1:6" ht="15.75" customHeight="1" x14ac:dyDescent="0.25">
      <c r="A52" s="3"/>
      <c r="B52" s="40" t="s">
        <v>11</v>
      </c>
      <c r="C52" s="267" t="s">
        <v>180</v>
      </c>
      <c r="D52" s="267"/>
      <c r="E52" s="89">
        <f>PERC_SUBSTITUTO_FERIAS</f>
        <v>8.3333333333333321</v>
      </c>
      <c r="F52" s="145">
        <f>PERC_SUBSTITUTO_FERIAS%*(MOD_1_REMUNERACAO_44H3+MOD_2_ENCARGOS_BENEFICIOS_44H3)</f>
        <v>249.49799999999991</v>
      </c>
    </row>
    <row r="53" spans="1:6" ht="15.75" customHeight="1" x14ac:dyDescent="0.25">
      <c r="A53" s="3"/>
      <c r="B53" s="40" t="s">
        <v>13</v>
      </c>
      <c r="C53" s="266" t="s">
        <v>182</v>
      </c>
      <c r="D53" s="266"/>
      <c r="E53" s="91">
        <f>PERC_SUBSTITUTO_AUSENCIAS_LEGAIS</f>
        <v>2.2222222222222223</v>
      </c>
      <c r="F53" s="145">
        <f>PERC_SUBSTITUTO_AUSENCIAS_LEGAIS%*(MOD_1_REMUNERACAO_44H3+MOD_2_ENCARGOS_BENEFICIOS_44H3)</f>
        <v>66.532799999999995</v>
      </c>
    </row>
    <row r="54" spans="1:6" ht="15.75" customHeight="1" x14ac:dyDescent="0.25">
      <c r="A54" s="3"/>
      <c r="B54" s="40" t="s">
        <v>15</v>
      </c>
      <c r="C54" s="267" t="s">
        <v>184</v>
      </c>
      <c r="D54" s="267"/>
      <c r="E54" s="89">
        <f>PERC_SUBSTITUTO_LICENCA_PATERNIDADE</f>
        <v>1.7051833333333329E-2</v>
      </c>
      <c r="F54" s="145">
        <f>PERC_SUBSTITUTO_LICENCA_PATERNIDADE%*(MOD_1_REMUNERACAO_44H3+MOD_2_ENCARGOS_BENEFICIOS_44H3)</f>
        <v>0.51052779755999977</v>
      </c>
    </row>
    <row r="55" spans="1:6" ht="16.5" customHeight="1" x14ac:dyDescent="0.25">
      <c r="A55" s="3"/>
      <c r="B55" s="40" t="s">
        <v>17</v>
      </c>
      <c r="C55" s="266" t="s">
        <v>186</v>
      </c>
      <c r="D55" s="266"/>
      <c r="E55" s="91">
        <f>PERC_SUBSTITUTO_ACID_TRAB</f>
        <v>1.85302229372558E-2</v>
      </c>
      <c r="F55" s="145">
        <f>PERC_SUBSTITUTO_ACID_TRAB%*(MOD_1_REMUNERACAO_44H3+MOD_2_ENCARGOS_BENEFICIOS_44H3)</f>
        <v>0.55479042748793361</v>
      </c>
    </row>
    <row r="56" spans="1:6" ht="16.5" customHeight="1" x14ac:dyDescent="0.25">
      <c r="A56" s="3"/>
      <c r="B56" s="40" t="s">
        <v>19</v>
      </c>
      <c r="C56" s="267" t="s">
        <v>188</v>
      </c>
      <c r="D56" s="267"/>
      <c r="E56" s="89">
        <f>PERC_SUBSTITUTO_AFAST_MATERN</f>
        <v>2.3584874666666662E-2</v>
      </c>
      <c r="F56" s="145">
        <f>PERC_SUBSTITUTO_AFAST_MATERN%*(MOD_1_REMUNERACAO_44H3+MOD_2_ENCARGOS_BENEFICIOS_44H3)</f>
        <v>0.70612548715007983</v>
      </c>
    </row>
    <row r="57" spans="1:6" ht="16.5" customHeight="1" x14ac:dyDescent="0.25">
      <c r="A57" s="3"/>
      <c r="B57" s="40" t="s">
        <v>54</v>
      </c>
      <c r="C57" s="300" t="str">
        <f>OUTRAS_AUSENCIAS_DESCRICAO</f>
        <v>Outras Ausências (Especificar em %)</v>
      </c>
      <c r="D57" s="300"/>
      <c r="E57" s="115">
        <f>PERC_SUBSTITUTO_OUTRAS_AUSENCIAS</f>
        <v>0</v>
      </c>
      <c r="F57" s="145">
        <f>PERC_SUBSTITUTO_OUTRAS_AUSENCIAS%*(MOD_1_REMUNERACAO_44H3+MOD_2_ENCARGOS_BENEFICIOS_44H3)</f>
        <v>0</v>
      </c>
    </row>
    <row r="58" spans="1:6" ht="16.5" customHeight="1" x14ac:dyDescent="0.3">
      <c r="A58" s="3"/>
      <c r="B58" s="272" t="s">
        <v>167</v>
      </c>
      <c r="C58" s="272"/>
      <c r="D58" s="272"/>
      <c r="E58" s="272"/>
      <c r="F58" s="112">
        <f>SUM(F52:F57)</f>
        <v>317.80224371219788</v>
      </c>
    </row>
    <row r="59" spans="1:6" ht="7.5" customHeight="1" x14ac:dyDescent="0.3">
      <c r="A59" s="2"/>
      <c r="B59" s="114"/>
      <c r="C59" s="2"/>
      <c r="D59" s="27"/>
      <c r="E59" s="39"/>
      <c r="F59" s="3"/>
    </row>
    <row r="60" spans="1:6" ht="16.5" customHeight="1" x14ac:dyDescent="0.3">
      <c r="A60" s="2"/>
      <c r="B60" s="38" t="s">
        <v>95</v>
      </c>
      <c r="C60" s="61"/>
      <c r="D60" s="61"/>
      <c r="E60" s="63"/>
      <c r="F60" s="3"/>
    </row>
    <row r="61" spans="1:6" ht="15.75" customHeight="1" x14ac:dyDescent="0.3">
      <c r="A61" s="2"/>
      <c r="B61" s="64">
        <v>5</v>
      </c>
      <c r="C61" s="273" t="s">
        <v>96</v>
      </c>
      <c r="D61" s="273"/>
      <c r="E61" s="273"/>
      <c r="F61" s="65" t="s">
        <v>97</v>
      </c>
    </row>
    <row r="62" spans="1:6" ht="16.5" customHeight="1" x14ac:dyDescent="0.3">
      <c r="A62" s="2"/>
      <c r="B62" s="66" t="s">
        <v>11</v>
      </c>
      <c r="C62" s="274" t="s">
        <v>98</v>
      </c>
      <c r="D62" s="274"/>
      <c r="E62" s="274"/>
      <c r="F62" s="164">
        <f>UNIFORMES3</f>
        <v>204.29000000000002</v>
      </c>
    </row>
    <row r="63" spans="1:6" ht="16.5" customHeight="1" x14ac:dyDescent="0.3">
      <c r="A63" s="2"/>
      <c r="B63" s="66" t="s">
        <v>13</v>
      </c>
      <c r="C63" s="275" t="s">
        <v>99</v>
      </c>
      <c r="D63" s="275"/>
      <c r="E63" s="275"/>
      <c r="F63" s="164">
        <f>MATERIAIS3</f>
        <v>0</v>
      </c>
    </row>
    <row r="64" spans="1:6" ht="16.5" customHeight="1" x14ac:dyDescent="0.3">
      <c r="A64" s="2"/>
      <c r="B64" s="66" t="s">
        <v>15</v>
      </c>
      <c r="C64" s="274" t="s">
        <v>100</v>
      </c>
      <c r="D64" s="274"/>
      <c r="E64" s="274"/>
      <c r="F64" s="164">
        <f>EQUIPAMENTOS3</f>
        <v>0</v>
      </c>
    </row>
    <row r="65" spans="1:6" ht="16.5" customHeight="1" x14ac:dyDescent="0.3">
      <c r="A65" s="2"/>
      <c r="B65" s="66" t="s">
        <v>17</v>
      </c>
      <c r="C65" s="305" t="str">
        <f>OUTROS_INSUMOS_DESCRICAO</f>
        <v>EPIs</v>
      </c>
      <c r="D65" s="305"/>
      <c r="E65" s="305"/>
      <c r="F65" s="164">
        <f>OUTROS_INSUMOS3</f>
        <v>0</v>
      </c>
    </row>
    <row r="66" spans="1:6" ht="16.5" customHeight="1" x14ac:dyDescent="0.3">
      <c r="A66" s="2"/>
      <c r="B66" s="273" t="s">
        <v>167</v>
      </c>
      <c r="C66" s="273"/>
      <c r="D66" s="273"/>
      <c r="E66" s="273"/>
      <c r="F66" s="118">
        <f>SUM(F62:F65)</f>
        <v>204.29000000000002</v>
      </c>
    </row>
    <row r="67" spans="1:6" ht="7.5" customHeight="1" x14ac:dyDescent="0.3">
      <c r="A67" s="2"/>
      <c r="B67" s="114"/>
      <c r="C67" s="2"/>
      <c r="D67" s="27"/>
      <c r="E67" s="39"/>
      <c r="F67" s="3"/>
    </row>
    <row r="68" spans="1:6" ht="15" customHeight="1" x14ac:dyDescent="0.3">
      <c r="A68" s="2"/>
      <c r="B68" s="304" t="s">
        <v>102</v>
      </c>
      <c r="C68" s="304"/>
      <c r="D68" s="304"/>
      <c r="E68" s="304"/>
      <c r="F68" s="3"/>
    </row>
    <row r="69" spans="1:6" ht="16.5" customHeight="1" x14ac:dyDescent="0.3">
      <c r="A69" s="2"/>
      <c r="B69" s="5">
        <v>6</v>
      </c>
      <c r="C69" s="272" t="s">
        <v>103</v>
      </c>
      <c r="D69" s="272"/>
      <c r="E69" s="40" t="s">
        <v>90</v>
      </c>
      <c r="F69" s="40" t="s">
        <v>97</v>
      </c>
    </row>
    <row r="70" spans="1:6" ht="16.5" customHeight="1" x14ac:dyDescent="0.3">
      <c r="A70" s="2"/>
      <c r="B70" s="5" t="s">
        <v>11</v>
      </c>
      <c r="C70" s="267" t="s">
        <v>104</v>
      </c>
      <c r="D70" s="267"/>
      <c r="E70" s="119">
        <f>PERC_CUSTOS_INDIRETOS</f>
        <v>4.7300000000000004</v>
      </c>
      <c r="F70" s="145">
        <f>PERC_CUSTOS_INDIRETOS%*(MOD_1_REMUNERACAO_44H3+MOD_2_ENCARGOS_BENEFICIOS_44H3+MOD_3_PROVISAO_RESCISAO_44H3+MOD_4_CUSTO_REPOSICAO_44H3+MOD_5_INSUMOS_44H3)</f>
        <v>169.6003561546259</v>
      </c>
    </row>
    <row r="71" spans="1:6" ht="15.75" customHeight="1" x14ac:dyDescent="0.3">
      <c r="A71" s="2"/>
      <c r="B71" s="40" t="s">
        <v>13</v>
      </c>
      <c r="C71" s="266" t="s">
        <v>105</v>
      </c>
      <c r="D71" s="266"/>
      <c r="E71" s="120">
        <f>PERC_LUCRO</f>
        <v>5.57</v>
      </c>
      <c r="F71" s="145">
        <f>PERC_LUCRO%*(MOD_1_REMUNERACAO_44H3+MOD_2_ENCARGOS_BENEFICIOS_44H3+MOD_3_PROVISAO_RESCISAO_44H3+MOD_4_CUSTO_REPOSICAO_44H3+MOD_5_INSUMOS_44H3+AL_6_A_CUSTOS_INDIRETOS_44H3)</f>
        <v>209.16639814252011</v>
      </c>
    </row>
    <row r="72" spans="1:6" ht="16.5" customHeight="1" x14ac:dyDescent="0.3">
      <c r="A72" s="2"/>
      <c r="B72" s="40" t="s">
        <v>15</v>
      </c>
      <c r="C72" s="267" t="s">
        <v>206</v>
      </c>
      <c r="D72" s="267"/>
      <c r="E72" s="119">
        <f>SUM(E73:E75)</f>
        <v>8.65</v>
      </c>
      <c r="F72" s="145">
        <f>SUM(F73:F75)</f>
        <v>375.39181583839763</v>
      </c>
    </row>
    <row r="73" spans="1:6" ht="15.75" customHeight="1" x14ac:dyDescent="0.3">
      <c r="A73" s="2"/>
      <c r="B73" s="75" t="s">
        <v>106</v>
      </c>
      <c r="C73" s="302" t="s">
        <v>107</v>
      </c>
      <c r="D73" s="302"/>
      <c r="E73" s="121">
        <f>PERC_PIS</f>
        <v>0.65</v>
      </c>
      <c r="F73" s="167">
        <f>((MOD_1_REMUNERACAO_44H3+MOD_2_ENCARGOS_BENEFICIOS_44H3+MOD_3_PROVISAO_RESCISAO_44H3+MOD_4_CUSTO_REPOSICAO_44H3+MOD_5_INSUMOS_44H3+AL_6_A_CUSTOS_INDIRETOS_44H3+AL_6_B_LUCRO_44H3)*PERC_PIS%)/(1-PERC_TRIBUTOS%)</f>
        <v>28.208633560110808</v>
      </c>
    </row>
    <row r="74" spans="1:6" ht="16.5" customHeight="1" x14ac:dyDescent="0.3">
      <c r="A74" s="2"/>
      <c r="B74" s="75" t="s">
        <v>108</v>
      </c>
      <c r="C74" s="303" t="s">
        <v>109</v>
      </c>
      <c r="D74" s="303"/>
      <c r="E74" s="123">
        <f>PERC_COFINS</f>
        <v>3</v>
      </c>
      <c r="F74" s="167">
        <f>((MOD_1_REMUNERACAO_44H3+MOD_2_ENCARGOS_BENEFICIOS_44H3+MOD_3_PROVISAO_RESCISAO_44H3+MOD_4_CUSTO_REPOSICAO_44H3+MOD_5_INSUMOS_44H3+AL_6_A_CUSTOS_INDIRETOS_44H3+AL_6_B_LUCRO_44H3)*PERC_COFINS%)/(1-PERC_TRIBUTOS%)</f>
        <v>130.19369335435758</v>
      </c>
    </row>
    <row r="75" spans="1:6" ht="16.5" customHeight="1" x14ac:dyDescent="0.3">
      <c r="A75" s="70"/>
      <c r="B75" s="75" t="s">
        <v>110</v>
      </c>
      <c r="C75" s="302" t="s">
        <v>111</v>
      </c>
      <c r="D75" s="302"/>
      <c r="E75" s="121">
        <f>PERC_ISS</f>
        <v>5</v>
      </c>
      <c r="F75" s="167">
        <f>((MOD_1_REMUNERACAO_44H3+MOD_2_ENCARGOS_BENEFICIOS_44H3+MOD_3_PROVISAO_RESCISAO_44H3+MOD_4_CUSTO_REPOSICAO_44H3+MOD_5_INSUMOS_44H3+AL_6_A_CUSTOS_INDIRETOS_44H3+AL_6_B_LUCRO_44H3)*PERC_ISS%)/(1-PERC_TRIBUTOS%)</f>
        <v>216.98948892392929</v>
      </c>
    </row>
    <row r="76" spans="1:6" ht="16.5" customHeight="1" x14ac:dyDescent="0.3">
      <c r="A76" s="70"/>
      <c r="B76" s="272" t="s">
        <v>167</v>
      </c>
      <c r="C76" s="272"/>
      <c r="D76" s="272"/>
      <c r="E76" s="272"/>
      <c r="F76" s="125">
        <f>AL_6_A_CUSTOS_INDIRETOS_44H3+AL_6_B_LUCRO_44H3+AL_6_C_TRIBUTOS_44H3</f>
        <v>754.15857013554364</v>
      </c>
    </row>
    <row r="77" spans="1:6" ht="16.5" customHeight="1" x14ac:dyDescent="0.3">
      <c r="A77" s="70"/>
      <c r="B77" s="126" t="s">
        <v>207</v>
      </c>
      <c r="C77" s="79"/>
      <c r="D77" s="79"/>
      <c r="E77" s="79"/>
      <c r="F77" s="3"/>
    </row>
    <row r="78" spans="1:6" ht="16.5" customHeight="1" x14ac:dyDescent="0.3">
      <c r="A78" s="71"/>
      <c r="B78" s="40" t="s">
        <v>208</v>
      </c>
      <c r="C78" s="277" t="s">
        <v>209</v>
      </c>
      <c r="D78" s="277"/>
      <c r="E78" s="277"/>
      <c r="F78" s="40" t="s">
        <v>210</v>
      </c>
    </row>
    <row r="79" spans="1:6" ht="16.5" customHeight="1" x14ac:dyDescent="0.3">
      <c r="A79" s="70"/>
      <c r="B79" s="5">
        <v>1</v>
      </c>
      <c r="C79" s="267" t="s">
        <v>47</v>
      </c>
      <c r="D79" s="267"/>
      <c r="E79" s="267"/>
      <c r="F79" s="145">
        <f>MOD_1_REMUNERACAO_44H3</f>
        <v>1601.55</v>
      </c>
    </row>
    <row r="80" spans="1:6" ht="16.5" customHeight="1" x14ac:dyDescent="0.3">
      <c r="A80" s="128"/>
      <c r="B80" s="40">
        <v>2</v>
      </c>
      <c r="C80" s="266" t="s">
        <v>211</v>
      </c>
      <c r="D80" s="266"/>
      <c r="E80" s="266"/>
      <c r="F80" s="145">
        <f>MOD_2_ENCARGOS_BENEFICIOS_44H3</f>
        <v>1392.4259999999999</v>
      </c>
    </row>
    <row r="81" spans="1:6" ht="16.5" customHeight="1" x14ac:dyDescent="0.3">
      <c r="A81" s="128"/>
      <c r="B81" s="40">
        <v>3</v>
      </c>
      <c r="C81" s="267" t="s">
        <v>132</v>
      </c>
      <c r="D81" s="267"/>
      <c r="E81" s="267"/>
      <c r="F81" s="145">
        <f>MOD_3_PROVISAO_RESCISAO_44H3</f>
        <v>69.562964630844988</v>
      </c>
    </row>
    <row r="82" spans="1:6" ht="16.5" customHeight="1" x14ac:dyDescent="0.3">
      <c r="A82" s="128"/>
      <c r="B82" s="40">
        <v>4</v>
      </c>
      <c r="C82" s="266" t="s">
        <v>212</v>
      </c>
      <c r="D82" s="266"/>
      <c r="E82" s="266"/>
      <c r="F82" s="145">
        <f>MOD_4_CUSTO_REPOSICAO_44H3</f>
        <v>317.80224371219788</v>
      </c>
    </row>
    <row r="83" spans="1:6" ht="16.5" customHeight="1" x14ac:dyDescent="0.3">
      <c r="A83" s="128"/>
      <c r="B83" s="40">
        <v>5</v>
      </c>
      <c r="C83" s="267" t="s">
        <v>96</v>
      </c>
      <c r="D83" s="267"/>
      <c r="E83" s="267"/>
      <c r="F83" s="145">
        <f>MOD_5_INSUMOS_44H3</f>
        <v>204.29000000000002</v>
      </c>
    </row>
    <row r="84" spans="1:6" ht="16.5" customHeight="1" x14ac:dyDescent="0.3">
      <c r="A84" s="128"/>
      <c r="B84" s="40">
        <v>6</v>
      </c>
      <c r="C84" s="266" t="s">
        <v>103</v>
      </c>
      <c r="D84" s="266"/>
      <c r="E84" s="266"/>
      <c r="F84" s="145">
        <f>MOD_6_CUSTOS_IND_LUCRO_TRIB_44H3</f>
        <v>754.15857013554364</v>
      </c>
    </row>
    <row r="85" spans="1:6" ht="16.5" customHeight="1" x14ac:dyDescent="0.3">
      <c r="A85" s="2"/>
      <c r="B85" s="277" t="s">
        <v>213</v>
      </c>
      <c r="C85" s="277"/>
      <c r="D85" s="277"/>
      <c r="E85" s="277"/>
      <c r="F85" s="125">
        <f>SUM(F79:F84)</f>
        <v>4339.7897784785855</v>
      </c>
    </row>
    <row r="86" spans="1:6" ht="16.5" customHeight="1" x14ac:dyDescent="0.3">
      <c r="A86" s="2"/>
      <c r="B86" s="277" t="s">
        <v>214</v>
      </c>
      <c r="C86" s="277"/>
      <c r="D86" s="277"/>
      <c r="E86" s="277"/>
      <c r="F86" s="125">
        <f>VALOR_TOTAL_EMPREGADO_44H3*EMPREG_POR_POSTO3</f>
        <v>4339.7897784785855</v>
      </c>
    </row>
    <row r="87" spans="1:6" ht="16.5" customHeight="1" x14ac:dyDescent="0.3">
      <c r="A87" s="2"/>
      <c r="B87" s="277" t="s">
        <v>215</v>
      </c>
      <c r="C87" s="277"/>
      <c r="D87" s="277"/>
      <c r="E87" s="277"/>
      <c r="F87" s="125">
        <f>VALOR_TOTAL_EMPREGADO_44H3*EMPREG_POR_POSTO3*QTDE_POSTOS_LUZ3</f>
        <v>4339.7897784785855</v>
      </c>
    </row>
    <row r="88" spans="1:6" ht="16.5" customHeight="1" x14ac:dyDescent="0.3">
      <c r="A88" s="2"/>
      <c r="B88" s="2"/>
      <c r="C88" s="2"/>
      <c r="D88" s="2"/>
      <c r="E88" s="2"/>
      <c r="F88" s="2"/>
    </row>
    <row r="89" spans="1:6" ht="16.5" customHeight="1" x14ac:dyDescent="0.3">
      <c r="A89" s="2"/>
      <c r="B89" s="2" t="s">
        <v>190</v>
      </c>
      <c r="C89" s="2"/>
      <c r="D89" s="2"/>
      <c r="E89" s="2"/>
      <c r="F89" s="2"/>
    </row>
    <row r="90" spans="1:6" ht="16.5" customHeight="1" x14ac:dyDescent="0.3">
      <c r="A90" s="2"/>
      <c r="B90" s="2"/>
      <c r="C90" s="2"/>
      <c r="D90" s="2"/>
      <c r="E90" s="2"/>
      <c r="F90" s="2"/>
    </row>
  </sheetData>
  <mergeCells count="73">
    <mergeCell ref="B2:H2"/>
    <mergeCell ref="B4:E4"/>
    <mergeCell ref="C6:E6"/>
    <mergeCell ref="C7:E7"/>
    <mergeCell ref="C8:E8"/>
    <mergeCell ref="C9:E9"/>
    <mergeCell ref="C10:E10"/>
    <mergeCell ref="C11:E11"/>
    <mergeCell ref="C12:E12"/>
    <mergeCell ref="B13:E13"/>
    <mergeCell ref="C16:D16"/>
    <mergeCell ref="C17:D17"/>
    <mergeCell ref="C18:D18"/>
    <mergeCell ref="B19:E19"/>
    <mergeCell ref="B20:E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B30:E30"/>
    <mergeCell ref="C32:E32"/>
    <mergeCell ref="C33:E33"/>
    <mergeCell ref="C34:E34"/>
    <mergeCell ref="C35:E35"/>
    <mergeCell ref="C36:E36"/>
    <mergeCell ref="C37:E37"/>
    <mergeCell ref="B38:E38"/>
    <mergeCell ref="C40:D40"/>
    <mergeCell ref="C41:D41"/>
    <mergeCell ref="C42:D42"/>
    <mergeCell ref="C43:D43"/>
    <mergeCell ref="C44:D44"/>
    <mergeCell ref="C45:D45"/>
    <mergeCell ref="C46:D46"/>
    <mergeCell ref="B47:E47"/>
    <mergeCell ref="C51:D51"/>
    <mergeCell ref="C52:D52"/>
    <mergeCell ref="C53:D53"/>
    <mergeCell ref="C54:D54"/>
    <mergeCell ref="C55:D55"/>
    <mergeCell ref="C56:D56"/>
    <mergeCell ref="C57:D57"/>
    <mergeCell ref="B58:E58"/>
    <mergeCell ref="C61:E61"/>
    <mergeCell ref="C62:E62"/>
    <mergeCell ref="C63:E63"/>
    <mergeCell ref="C64:E64"/>
    <mergeCell ref="C65:E65"/>
    <mergeCell ref="B66:E66"/>
    <mergeCell ref="B68:E68"/>
    <mergeCell ref="C69:D69"/>
    <mergeCell ref="C70:D70"/>
    <mergeCell ref="C71:D71"/>
    <mergeCell ref="C72:D72"/>
    <mergeCell ref="C73:D73"/>
    <mergeCell ref="C74:D74"/>
    <mergeCell ref="C75:D75"/>
    <mergeCell ref="B76:E76"/>
    <mergeCell ref="C78:E78"/>
    <mergeCell ref="C84:E84"/>
    <mergeCell ref="B85:E85"/>
    <mergeCell ref="B86:E86"/>
    <mergeCell ref="B87:E87"/>
    <mergeCell ref="C79:E79"/>
    <mergeCell ref="C80:E80"/>
    <mergeCell ref="C81:E81"/>
    <mergeCell ref="C82:E82"/>
    <mergeCell ref="C83:E83"/>
  </mergeCells>
  <printOptions horizontalCentered="1"/>
  <pageMargins left="0.196527777777778" right="0.196527777777778" top="0.196527777777778" bottom="0.196527777777778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130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10</vt:i4>
      </vt:variant>
      <vt:variant>
        <vt:lpstr>Intervalos nomeados</vt:lpstr>
      </vt:variant>
      <vt:variant>
        <vt:i4>307</vt:i4>
      </vt:variant>
    </vt:vector>
  </HeadingPairs>
  <TitlesOfParts>
    <vt:vector size="317" baseType="lpstr">
      <vt:lpstr>INSERÇÃO-DE-DADOS</vt:lpstr>
      <vt:lpstr>DADOS-ESTATISTICOS</vt:lpstr>
      <vt:lpstr>ENCARGOS-SOCIAIS-E-TRABALHISTAS</vt:lpstr>
      <vt:lpstr>POSTO 12x36 HORAS</vt:lpstr>
      <vt:lpstr>UNIFORMES_TODOS OS POSTOS</vt:lpstr>
      <vt:lpstr>Equipamento e EPI - Carregador</vt:lpstr>
      <vt:lpstr>PR-GO</vt:lpstr>
      <vt:lpstr>PRM-ANS</vt:lpstr>
      <vt:lpstr>PRM-LUZ</vt:lpstr>
      <vt:lpstr>TOTAL GERAL</vt:lpstr>
      <vt:lpstr>ACORDO_COLETIVO</vt:lpstr>
      <vt:lpstr>'DADOS-ESTATISTICOS'!ADESAO_AO_PAT</vt:lpstr>
      <vt:lpstr>'POSTO 12x36 HORAS'!AL_1_A_SAL_BASE_12x36</vt:lpstr>
      <vt:lpstr>'PR-GO'!AL_1_A_SAL_BASE_44H</vt:lpstr>
      <vt:lpstr>'PRM-ANS'!AL_1_A_SAL_BASE_44H</vt:lpstr>
      <vt:lpstr>AL_1_A_SAL_BASE_44H2</vt:lpstr>
      <vt:lpstr>'PRM-ANS'!AL_1_A_SAL_BASE_44H3</vt:lpstr>
      <vt:lpstr>'PRM-LUZ'!AL_1_A_SAL_BASE_44H3</vt:lpstr>
      <vt:lpstr>AL_1_A_SAL_BASE_44H3</vt:lpstr>
      <vt:lpstr>'POSTO 12x36 HORAS'!AL_1_B_ADIC_PERIC_12x36</vt:lpstr>
      <vt:lpstr>'PR-GO'!AL_1_B_ADIC_PERIC_44H</vt:lpstr>
      <vt:lpstr>'PRM-ANS'!AL_1_B_ADIC_PERIC_44H</vt:lpstr>
      <vt:lpstr>'POSTO 12x36 HORAS'!AL_1_C_ADIC_NOT_12x36</vt:lpstr>
      <vt:lpstr>'POSTO 12x36 HORAS'!AL_1_D_ADIC_NOT_RED_12x36</vt:lpstr>
      <vt:lpstr>'POSTO 12x36 HORAS'!AL_2_1_A_DEC_TERC_12x36</vt:lpstr>
      <vt:lpstr>'PR-GO'!AL_2_1_A_DEC_TERC_44H</vt:lpstr>
      <vt:lpstr>'PRM-ANS'!AL_2_1_A_DEC_TERC_44H</vt:lpstr>
      <vt:lpstr>'POSTO 12x36 HORAS'!AL_2_1_B_ADIC_FERIAS_12x36</vt:lpstr>
      <vt:lpstr>'PR-GO'!AL_2_1_B_ADIC_FERIAS_44H</vt:lpstr>
      <vt:lpstr>'PRM-ANS'!AL_2_1_B_ADIC_FERIAS_44H</vt:lpstr>
      <vt:lpstr>'POSTO 12x36 HORAS'!AL_2_2_FGTS_12x36</vt:lpstr>
      <vt:lpstr>'PR-GO'!AL_2_2_FGTS_44H</vt:lpstr>
      <vt:lpstr>'PRM-ANS'!AL_2_2_FGTS_44H</vt:lpstr>
      <vt:lpstr>'POSTO 12x36 HORAS'!AL_2_3_A_TRANSP_12x36</vt:lpstr>
      <vt:lpstr>'PR-GO'!AL_2_3_A_TRANSP_44H</vt:lpstr>
      <vt:lpstr>'PRM-ANS'!AL_2_3_A_TRANSP_44H</vt:lpstr>
      <vt:lpstr>'POSTO 12x36 HORAS'!AL_2_3_B_AUX_ALIMENT_12x36</vt:lpstr>
      <vt:lpstr>'PR-GO'!AL_2_3_B_AUX_ALIMENT_44H</vt:lpstr>
      <vt:lpstr>'PRM-ANS'!AL_2_3_B_AUX_ALIMENT_44H</vt:lpstr>
      <vt:lpstr>'POSTO 12x36 HORAS'!AL_2_3_C_OUTROS_BENEF_12x36</vt:lpstr>
      <vt:lpstr>'PR-GO'!AL_2_3_C_OUTROS_BENEF_44H</vt:lpstr>
      <vt:lpstr>'PRM-ANS'!AL_2_3_C_OUTROS_BENEF_44H</vt:lpstr>
      <vt:lpstr>'POSTO 12x36 HORAS'!AL_2_A_ATE_2_G_GPS_12x36</vt:lpstr>
      <vt:lpstr>'PR-GO'!AL_2_A_ATE_2_G_GPS_44H</vt:lpstr>
      <vt:lpstr>'PRM-ANS'!AL_2_A_ATE_2_G_GPS_44H</vt:lpstr>
      <vt:lpstr>'POSTO 12x36 HORAS'!AL_6_A_CUSTOS_INDIRETOS_12x36</vt:lpstr>
      <vt:lpstr>'PR-GO'!AL_6_A_CUSTOS_INDIRETOS_44H</vt:lpstr>
      <vt:lpstr>'PRM-ANS'!AL_6_A_CUSTOS_INDIRETOS_44H</vt:lpstr>
      <vt:lpstr>AL_6_A_CUSTOS_INDIRETOS_44H2</vt:lpstr>
      <vt:lpstr>'PRM-ANS'!AL_6_A_CUSTOS_INDIRETOS_44H3</vt:lpstr>
      <vt:lpstr>'PRM-LUZ'!AL_6_A_CUSTOS_INDIRETOS_44H3</vt:lpstr>
      <vt:lpstr>AL_6_A_CUSTOS_INDIRETOS_44H3</vt:lpstr>
      <vt:lpstr>'POSTO 12x36 HORAS'!AL_6_B_LUCRO_12x36</vt:lpstr>
      <vt:lpstr>'PR-GO'!AL_6_B_LUCRO_44H</vt:lpstr>
      <vt:lpstr>'PRM-ANS'!AL_6_B_LUCRO_44H</vt:lpstr>
      <vt:lpstr>AL_6_B_LUCRO_44H2</vt:lpstr>
      <vt:lpstr>'PRM-ANS'!AL_6_B_LUCRO_44H3</vt:lpstr>
      <vt:lpstr>'PRM-LUZ'!AL_6_B_LUCRO_44H3</vt:lpstr>
      <vt:lpstr>AL_6_B_LUCRO_44H3</vt:lpstr>
      <vt:lpstr>'POSTO 12x36 HORAS'!AL_6_C_1_PIS_12x36</vt:lpstr>
      <vt:lpstr>'PR-GO'!AL_6_C_1_PIS_44H</vt:lpstr>
      <vt:lpstr>'PRM-ANS'!AL_6_C_1_PIS_44H</vt:lpstr>
      <vt:lpstr>'POSTO 12x36 HORAS'!AL_6_C_2_COFINS_12x36</vt:lpstr>
      <vt:lpstr>'PR-GO'!AL_6_C_2_COFINS_44H</vt:lpstr>
      <vt:lpstr>'PRM-ANS'!AL_6_C_2_COFINS_44H</vt:lpstr>
      <vt:lpstr>'POSTO 12x36 HORAS'!AL_6_C_3_ISS_12x36</vt:lpstr>
      <vt:lpstr>'PR-GO'!AL_6_C_3_ISS_44H</vt:lpstr>
      <vt:lpstr>'PRM-ANS'!AL_6_C_3_ISS_44H</vt:lpstr>
      <vt:lpstr>'POSTO 12x36 HORAS'!AL_6_C_TRIBUTOS_12x36</vt:lpstr>
      <vt:lpstr>'PR-GO'!AL_6_C_TRIBUTOS_44H</vt:lpstr>
      <vt:lpstr>'PRM-ANS'!AL_6_C_TRIBUTOS_44H</vt:lpstr>
      <vt:lpstr>AL_6_C_TRIBUTOS_44H2</vt:lpstr>
      <vt:lpstr>'PRM-ANS'!AL_6_C_TRIBUTOS_44H3</vt:lpstr>
      <vt:lpstr>'PRM-LUZ'!AL_6_C_TRIBUTOS_44H3</vt:lpstr>
      <vt:lpstr>AL_6_C_TRIBUTOS_44H3</vt:lpstr>
      <vt:lpstr>ALIMENTACAO_POR_DIA</vt:lpstr>
      <vt:lpstr>ALIMENTACAO_POR_DIA2</vt:lpstr>
      <vt:lpstr>ALIMENTACAO_POR_DIA3</vt:lpstr>
      <vt:lpstr>BC_ADIC_INSALUB</vt:lpstr>
      <vt:lpstr>CATEGORIA_PROFISSIONAL</vt:lpstr>
      <vt:lpstr>CBO</vt:lpstr>
      <vt:lpstr>DATA_APRESENTACAO_PROPOSTA</vt:lpstr>
      <vt:lpstr>DATA_BASE_CATEGORIA</vt:lpstr>
      <vt:lpstr>DATA_DO_ORCAMENTO_ESTIMATIVO</vt:lpstr>
      <vt:lpstr>DATA_LICITACAO</vt:lpstr>
      <vt:lpstr>DIAS_AUSENCIAS_LEGAIS</vt:lpstr>
      <vt:lpstr>DIAS_LICENCA_MATERNIDADE</vt:lpstr>
      <vt:lpstr>DIAS_LICENCA_PATERNIDADE</vt:lpstr>
      <vt:lpstr>DIAS_NA_SEMANA</vt:lpstr>
      <vt:lpstr>DIAS_NO_ANO</vt:lpstr>
      <vt:lpstr>DIAS_NO_MES</vt:lpstr>
      <vt:lpstr>DIAS_PAGOS_EMPRESA_ACID_TRAB</vt:lpstr>
      <vt:lpstr>DIAS_TRABALHADOS_NO_MES_12X36</vt:lpstr>
      <vt:lpstr>DIAS_UTEIS_TRABALHADOS_NO_MES_44HORAS</vt:lpstr>
      <vt:lpstr>DIVISOR_DE_HORAS</vt:lpstr>
      <vt:lpstr>EMPREG_POR_POSTO</vt:lpstr>
      <vt:lpstr>EMPREG_POR_POSTO2</vt:lpstr>
      <vt:lpstr>EMPREG_POR_POSTO3</vt:lpstr>
      <vt:lpstr>EQUIPAMENTOS</vt:lpstr>
      <vt:lpstr>EQUIPAMENTOS2</vt:lpstr>
      <vt:lpstr>EQUIPAMENTOS3</vt:lpstr>
      <vt:lpstr>FAP</vt:lpstr>
      <vt:lpstr>HORA_NORMAL</vt:lpstr>
      <vt:lpstr>HORA_NOTURNA</vt:lpstr>
      <vt:lpstr>HORARIO_LICITACAO</vt:lpstr>
      <vt:lpstr>INCID_FGTS_SOBRE_API</vt:lpstr>
      <vt:lpstr>INCID_SUBMOD_2_2_APT</vt:lpstr>
      <vt:lpstr>LOCAL_DE_EXECUCAO</vt:lpstr>
      <vt:lpstr>MATERIAIS</vt:lpstr>
      <vt:lpstr>MATERIAIS2</vt:lpstr>
      <vt:lpstr>MATERIAIS3</vt:lpstr>
      <vt:lpstr>MEDIA_ANUAL_DIAS_TRABALHO_MES</vt:lpstr>
      <vt:lpstr>MESES_NO_ANO</vt:lpstr>
      <vt:lpstr>MOD_1_REMUNERACAO_12X36</vt:lpstr>
      <vt:lpstr>'PR-GO'!MOD_1_REMUNERACAO_44H</vt:lpstr>
      <vt:lpstr>'PRM-ANS'!MOD_1_REMUNERACAO_44H</vt:lpstr>
      <vt:lpstr>MOD_1_REMUNERACAO_44H2</vt:lpstr>
      <vt:lpstr>'PRM-ANS'!MOD_1_REMUNERACAO_44H3</vt:lpstr>
      <vt:lpstr>'PRM-LUZ'!MOD_1_REMUNERACAO_44H3</vt:lpstr>
      <vt:lpstr>MOD_1_REMUNERACAO_44H3</vt:lpstr>
      <vt:lpstr>'POSTO 12x36 HORAS'!MOD_3_PROVISAO_RESCISAO_12x36</vt:lpstr>
      <vt:lpstr>'PR-GO'!MOD_3_PROVISAO_RESCISAO_44H</vt:lpstr>
      <vt:lpstr>'PRM-ANS'!MOD_3_PROVISAO_RESCISAO_44H</vt:lpstr>
      <vt:lpstr>MOD_3_PROVISAO_RESCISAO_44H2</vt:lpstr>
      <vt:lpstr>'PRM-ANS'!MOD_3_PROVISAO_RESCISAO_44H3</vt:lpstr>
      <vt:lpstr>'PRM-LUZ'!MOD_3_PROVISAO_RESCISAO_44H3</vt:lpstr>
      <vt:lpstr>MOD_3_PROVISAO_RESCISAO_44H3</vt:lpstr>
      <vt:lpstr>'PR-GO'!MOD_4_CUSTO_REPOSICAO_44H</vt:lpstr>
      <vt:lpstr>'PRM-ANS'!MOD_4_CUSTO_REPOSICAO_44H</vt:lpstr>
      <vt:lpstr>MOD_4_CUSTO_REPOSICAO_44H2</vt:lpstr>
      <vt:lpstr>'PRM-ANS'!MOD_4_CUSTO_REPOSICAO_44H3</vt:lpstr>
      <vt:lpstr>'PRM-LUZ'!MOD_4_CUSTO_REPOSICAO_44H3</vt:lpstr>
      <vt:lpstr>MOD_4_CUSTO_REPOSICAO_44H3</vt:lpstr>
      <vt:lpstr>'POSTO 12x36 HORAS'!MOD_5_INSUMOS_12x36</vt:lpstr>
      <vt:lpstr>'PR-GO'!MOD_5_INSUMOS_44H</vt:lpstr>
      <vt:lpstr>'PRM-ANS'!MOD_5_INSUMOS_44H</vt:lpstr>
      <vt:lpstr>MOD_5_INSUMOS_44H2</vt:lpstr>
      <vt:lpstr>'PRM-ANS'!MOD_5_INSUMOS_44H3</vt:lpstr>
      <vt:lpstr>'PRM-LUZ'!MOD_5_INSUMOS_44H3</vt:lpstr>
      <vt:lpstr>MOD_5_INSUMOS_44H3</vt:lpstr>
      <vt:lpstr>'POSTO 12x36 HORAS'!MOD_6_CUSTOS_IND_LUCRO_TRIB_12x36</vt:lpstr>
      <vt:lpstr>'PR-GO'!MOD_6_CUSTOS_IND_LUCRO_TRIB_44H</vt:lpstr>
      <vt:lpstr>'PRM-ANS'!MOD_6_CUSTOS_IND_LUCRO_TRIB_44H</vt:lpstr>
      <vt:lpstr>MOD_6_CUSTOS_IND_LUCRO_TRIB_44H2</vt:lpstr>
      <vt:lpstr>'PRM-ANS'!MOD_6_CUSTOS_IND_LUCRO_TRIB_44H3</vt:lpstr>
      <vt:lpstr>'PRM-LUZ'!MOD_6_CUSTOS_IND_LUCRO_TRIB_44H3</vt:lpstr>
      <vt:lpstr>MOD_6_CUSTOS_IND_LUCRO_TRIB_44H3</vt:lpstr>
      <vt:lpstr>MODALIDADE_DE_LICITACAO</vt:lpstr>
      <vt:lpstr>NUMERO_MESES_EXEC_CONTRATUAL</vt:lpstr>
      <vt:lpstr>NUMERO_PREGAO</vt:lpstr>
      <vt:lpstr>NUMERO_PROCESSO</vt:lpstr>
      <vt:lpstr>OUTRAS_AUSENCIAS</vt:lpstr>
      <vt:lpstr>OUTRAS_AUSENCIAS_DESCRICAO</vt:lpstr>
      <vt:lpstr>OUTROS_BENEFICIOS_1</vt:lpstr>
      <vt:lpstr>OUTROS_BENEFICIOS_1_DESCRICAO</vt:lpstr>
      <vt:lpstr>OUTROS_BENEFICIOS_12</vt:lpstr>
      <vt:lpstr>OUTROS_BENEFICIOS_13</vt:lpstr>
      <vt:lpstr>OUTROS_BENEFICIOS_2</vt:lpstr>
      <vt:lpstr>OUTROS_BENEFICIOS_2_DESCRICAO</vt:lpstr>
      <vt:lpstr>OUTROS_BENEFICIOS_22</vt:lpstr>
      <vt:lpstr>OUTROS_BENEFICIOS_23</vt:lpstr>
      <vt:lpstr>OUTROS_BENEFICIOS_3</vt:lpstr>
      <vt:lpstr>OUTROS_BENEFICIOS_3_DESCRICAO</vt:lpstr>
      <vt:lpstr>OUTROS_BENEFICIOS_32</vt:lpstr>
      <vt:lpstr>OUTROS_BENEFICIOS_33</vt:lpstr>
      <vt:lpstr>OUTROS_INSUMOS</vt:lpstr>
      <vt:lpstr>OUTROS_INSUMOS_DESCRICAO</vt:lpstr>
      <vt:lpstr>OUTROS_INSUMOS2</vt:lpstr>
      <vt:lpstr>OUTROS_INSUMOS3</vt:lpstr>
      <vt:lpstr>OUTROS_REMUNERACAO_1</vt:lpstr>
      <vt:lpstr>OUTROS_REMUNERACAO_1_DESCRICAO</vt:lpstr>
      <vt:lpstr>OUTROS_REMUNERACAO_12</vt:lpstr>
      <vt:lpstr>OUTROS_REMUNERACAO_13</vt:lpstr>
      <vt:lpstr>OUTROS_REMUNERACAO_2</vt:lpstr>
      <vt:lpstr>OUTROS_REMUNERACAO_2_DESCRICAO</vt:lpstr>
      <vt:lpstr>OUTROS_REMUNERACAO_22</vt:lpstr>
      <vt:lpstr>OUTROS_REMUNERACAO_23</vt:lpstr>
      <vt:lpstr>OUTROS_REMUNERACAO_3</vt:lpstr>
      <vt:lpstr>OUTROS_REMUNERACAO_3_DESCRICAO</vt:lpstr>
      <vt:lpstr>OUTROS_REMUNERACAO_32</vt:lpstr>
      <vt:lpstr>OUTROS_REMUNERACAO_33</vt:lpstr>
      <vt:lpstr>PERC_ADIC_FERIAS</vt:lpstr>
      <vt:lpstr>PERC_ADIC_INS</vt:lpstr>
      <vt:lpstr>PERC_ADIC_INS2</vt:lpstr>
      <vt:lpstr>PERC_ADIC_INS3</vt:lpstr>
      <vt:lpstr>PERC_ADIC_NOT</vt:lpstr>
      <vt:lpstr>PERC_ADIC_NOT2</vt:lpstr>
      <vt:lpstr>PERC_ADIC_NOT3</vt:lpstr>
      <vt:lpstr>PERC_ADIC_PERIC</vt:lpstr>
      <vt:lpstr>PERC_ADIC_PERIC2</vt:lpstr>
      <vt:lpstr>PERC_ADIC_PERIC3</vt:lpstr>
      <vt:lpstr>PERC_AVISO_PREVIO_IND</vt:lpstr>
      <vt:lpstr>PERC_AVISO_PREVIO_TRAB</vt:lpstr>
      <vt:lpstr>PERC_COFINS</vt:lpstr>
      <vt:lpstr>PERC_COFINS2</vt:lpstr>
      <vt:lpstr>PERC_COFINS3</vt:lpstr>
      <vt:lpstr>PERC_CUSTOS_INDIRETOS</vt:lpstr>
      <vt:lpstr>PERC_CUSTOS_INDIRETOS2</vt:lpstr>
      <vt:lpstr>PERC_CUSTOS_INDIRETOS3</vt:lpstr>
      <vt:lpstr>PERC_DEC_TERC</vt:lpstr>
      <vt:lpstr>PERC_DESC_TRANSP_REMUNERACAO</vt:lpstr>
      <vt:lpstr>PERC_EMPREG_AFAST_TRAB</vt:lpstr>
      <vt:lpstr>PERC_EMPREG_AVISO_PREVIO_IND</vt:lpstr>
      <vt:lpstr>PERC_EMPREG_AVISO_PREVIO_TRAB</vt:lpstr>
      <vt:lpstr>PERC_EMPREG_DEMIT_SEM_JUSTA_CAUSA_TOTAL_DESLIG</vt:lpstr>
      <vt:lpstr>PERC_FAP</vt:lpstr>
      <vt:lpstr>PERC_FGTS</vt:lpstr>
      <vt:lpstr>PERC_GPS_FGTS</vt:lpstr>
      <vt:lpstr>PERC_HORA_EXTRA</vt:lpstr>
      <vt:lpstr>PERC_HORA_EXTRA2</vt:lpstr>
      <vt:lpstr>PERC_HORA_EXTRA3</vt:lpstr>
      <vt:lpstr>PERC_INCRA</vt:lpstr>
      <vt:lpstr>PERC_INSS</vt:lpstr>
      <vt:lpstr>PERC_ISS</vt:lpstr>
      <vt:lpstr>PERC_ISS2</vt:lpstr>
      <vt:lpstr>PERC_ISS3</vt:lpstr>
      <vt:lpstr>PERC_LUCRO</vt:lpstr>
      <vt:lpstr>PERC_LUCRO2</vt:lpstr>
      <vt:lpstr>PERC_LUCRO3</vt:lpstr>
      <vt:lpstr>'POSTO 12x36 HORAS'!PERC_MOD_3_PROVISAO_RESCISAO</vt:lpstr>
      <vt:lpstr>'PR-GO'!PERC_MOD_3_PROVISAO_RESCISAO</vt:lpstr>
      <vt:lpstr>'PRM-ANS'!PERC_MOD_3_PROVISAO_RESCISAO</vt:lpstr>
      <vt:lpstr>'PRM-LUZ'!PERC_MOD_3_PROVISAO_RESCISAO</vt:lpstr>
      <vt:lpstr>PERC_MULTA_FGTS</vt:lpstr>
      <vt:lpstr>PERC_MULTA_FGTS_AV_PREV_IND</vt:lpstr>
      <vt:lpstr>PERC_MULTA_FGTS_AV_PREV_TRAB</vt:lpstr>
      <vt:lpstr>PERC_NASCIDOS_VIVOS_POPUL_FEM</vt:lpstr>
      <vt:lpstr>PERC_PARTIC_FEM_VIGIL</vt:lpstr>
      <vt:lpstr>PERC_PARTIC_MASC_VIGIL</vt:lpstr>
      <vt:lpstr>PERC_PAT</vt:lpstr>
      <vt:lpstr>PERC_PIS</vt:lpstr>
      <vt:lpstr>PERC_PIS2</vt:lpstr>
      <vt:lpstr>PERC_PIS3</vt:lpstr>
      <vt:lpstr>PERC_RAT</vt:lpstr>
      <vt:lpstr>PERC_SAL_EDUCACAO</vt:lpstr>
      <vt:lpstr>PERC_SEBRAE</vt:lpstr>
      <vt:lpstr>PERC_SENAC</vt:lpstr>
      <vt:lpstr>PERC_SESC</vt:lpstr>
      <vt:lpstr>PERC_SUBSTITUTO_ACID_TRAB</vt:lpstr>
      <vt:lpstr>PERC_SUBSTITUTO_AFAST_MATERN</vt:lpstr>
      <vt:lpstr>PERC_SUBSTITUTO_AUSENCIAS_LEGAIS</vt:lpstr>
      <vt:lpstr>PERC_SUBSTITUTO_FERIAS</vt:lpstr>
      <vt:lpstr>PERC_SUBSTITUTO_LICENCA_PATERNIDADE</vt:lpstr>
      <vt:lpstr>PERC_SUBSTITUTO_OUTRAS_AUSENCIAS</vt:lpstr>
      <vt:lpstr>PERC_SUBSTITUTO_OUTRAS_AUSENCIAS2</vt:lpstr>
      <vt:lpstr>PERC_SUBSTITUTO_OUTRAS_AUSENCIAS3</vt:lpstr>
      <vt:lpstr>'POSTO 12x36 HORAS'!PERC_TRIBUTOS</vt:lpstr>
      <vt:lpstr>'PR-GO'!PERC_TRIBUTOS</vt:lpstr>
      <vt:lpstr>'PRM-ANS'!PERC_TRIBUTOS</vt:lpstr>
      <vt:lpstr>'PRM-LUZ'!PERC_TRIBUTOS</vt:lpstr>
      <vt:lpstr>'POSTO 12x36 HORAS'!QTDE_POSTOS</vt:lpstr>
      <vt:lpstr>'PR-GO'!QTDE_POSTOS</vt:lpstr>
      <vt:lpstr>'PRM-ANS'!QTDE_POSTOS</vt:lpstr>
      <vt:lpstr>'PRM-LUZ'!QTDE_POSTOS</vt:lpstr>
      <vt:lpstr>QTDE_POSTOS</vt:lpstr>
      <vt:lpstr>QTDE_POSTOS_ANS</vt:lpstr>
      <vt:lpstr>QTDE_POSTOS_ANS2</vt:lpstr>
      <vt:lpstr>QTDE_POSTOS_ANS3</vt:lpstr>
      <vt:lpstr>QTDE_POSTOS_LUZ</vt:lpstr>
      <vt:lpstr>QTDE_POSTOS_LUZ2</vt:lpstr>
      <vt:lpstr>QTDE_POSTOS_LUZ3</vt:lpstr>
      <vt:lpstr>QTDE_POSTOS_PRGO</vt:lpstr>
      <vt:lpstr>QTDE_POSTOS_PRGO2</vt:lpstr>
      <vt:lpstr>QTDE_POSTOS_PRGO3</vt:lpstr>
      <vt:lpstr>RAMO</vt:lpstr>
      <vt:lpstr>SAL_MINIMO</vt:lpstr>
      <vt:lpstr>SALARIO_BASE</vt:lpstr>
      <vt:lpstr>SALARIO_BASE2</vt:lpstr>
      <vt:lpstr>SALARIO_BASE3</vt:lpstr>
      <vt:lpstr>'POSTO 12x36 HORAS'!SUBMOD_2_1_DEC_TERC_ADIC_FERIAS_12x36</vt:lpstr>
      <vt:lpstr>'PRM-ANS'!SUBMOD_2_1_DEC_TERC_ADIC_FERIAS_44H</vt:lpstr>
      <vt:lpstr>SUBMOD_2_1_DEC_TERC_ADIC_FERIAS_44H</vt:lpstr>
      <vt:lpstr>SUBMOD_2_1_DEC_TERC_ADIC_FERIAS_44H2</vt:lpstr>
      <vt:lpstr>'PRM-ANS'!SUBMOD_2_1_DEC_TERC_ADIC_FERIAS_44H3</vt:lpstr>
      <vt:lpstr>'PRM-LUZ'!SUBMOD_2_1_DEC_TERC_ADIC_FERIAS_44H3</vt:lpstr>
      <vt:lpstr>SUBMOD_2_1_DEC_TERC_ADIC_FERIAS_44H3</vt:lpstr>
      <vt:lpstr>'POSTO 12x36 HORAS'!SUBMOD_2_2_GPS_FGTS_12x36</vt:lpstr>
      <vt:lpstr>'PR-GO'!SUBMOD_2_2_GPS_FGTS_44H</vt:lpstr>
      <vt:lpstr>'PRM-ANS'!SUBMOD_2_2_GPS_FGTS_44H</vt:lpstr>
      <vt:lpstr>'POSTO 12x36 HORAS'!SUBMOD_2_3_BENEFICIOS_12x36</vt:lpstr>
      <vt:lpstr>'PR-GO'!SUBMOD_2_3_BENEFICIOS_44H</vt:lpstr>
      <vt:lpstr>'PRM-ANS'!SUBMOD_2_3_BENEFICIOS_44H</vt:lpstr>
      <vt:lpstr>SUBMOD_2_4_INTERVALO_INTRAJORNADA_12X36</vt:lpstr>
      <vt:lpstr>'POSTO 12x36 HORAS'!SUBMOD_4_1_SUBSTITUTO_12x36</vt:lpstr>
      <vt:lpstr>'PR-GO'!SUBMOD_4_1_SUBSTITUTO_44H</vt:lpstr>
      <vt:lpstr>'PRM-ANS'!SUBMOD_4_1_SUBSTITUTO_44H</vt:lpstr>
      <vt:lpstr>'POSTO 12x36 HORAS'!SUBMOD_4_2_INTRAJORNADA_12x36</vt:lpstr>
      <vt:lpstr>TEMPO_INTERVALO_REFEICAO_INTERV_INTRA</vt:lpstr>
      <vt:lpstr>TEMPO_INTERVALO_REFEICAO_INTERV_INTRA2</vt:lpstr>
      <vt:lpstr>TEMPO_INTERVALO_REFEICAO_INTERV_INTRA3</vt:lpstr>
      <vt:lpstr>TEMPO_INTERVALO_REFEICAO_SUBST_INTRA</vt:lpstr>
      <vt:lpstr>TEMPO_INTERVALO_REFEICAO_SUBST_INTRA2</vt:lpstr>
      <vt:lpstr>TEMPO_INTERVALO_REFEICAO_SUBST_INTRA3</vt:lpstr>
      <vt:lpstr>TIPO_DE_SERVICO</vt:lpstr>
      <vt:lpstr>TRANSPORTE_POR_DIA</vt:lpstr>
      <vt:lpstr>TRANSPORTE_POR_DIA_ANA</vt:lpstr>
      <vt:lpstr>TRANSPORTE_POR_DIA_ANA2</vt:lpstr>
      <vt:lpstr>TRANSPORTE_POR_DIA_ANA3</vt:lpstr>
      <vt:lpstr>TRANSPORTE_POR_DIA_LUZ</vt:lpstr>
      <vt:lpstr>TRANSPORTE_POR_DIA_LUZ2</vt:lpstr>
      <vt:lpstr>TRANSPORTE_POR_DIA_LUZ3</vt:lpstr>
      <vt:lpstr>TRANSPORTE_POR_DIA2</vt:lpstr>
      <vt:lpstr>TRANSPORTE_POR_DIA3</vt:lpstr>
      <vt:lpstr>UG</vt:lpstr>
      <vt:lpstr>UNIFORMES</vt:lpstr>
      <vt:lpstr>UNIFORMES2</vt:lpstr>
      <vt:lpstr>UNIFORMES3</vt:lpstr>
      <vt:lpstr>'POSTO 12x36 HORAS'!VALOR_TOTAL_EMPREGADO_12x36</vt:lpstr>
      <vt:lpstr>'PR-GO'!VALOR_TOTAL_EMPREGADO_44H</vt:lpstr>
      <vt:lpstr>'PRM-ANS'!VALOR_TOTAL_EMPREGADO_44H</vt:lpstr>
      <vt:lpstr>VALOR_TOTAL_EMPREGADO_44H2</vt:lpstr>
      <vt:lpstr>'PRM-ANS'!VALOR_TOTAL_EMPREGADO_44H3</vt:lpstr>
      <vt:lpstr>'PRM-LUZ'!VALOR_TOTAL_EMPREGADO_44H3</vt:lpstr>
      <vt:lpstr>VALOR_TOTAL_EMPREGADO_44H3</vt:lpstr>
      <vt:lpstr>'POSTO 12x36 HORAS'!VALOR_TOTAL_POSTO_12x36</vt:lpstr>
      <vt:lpstr>'PR-GO'!VALOR_TOTAL_POSTO_44H</vt:lpstr>
      <vt:lpstr>'PRM-ANS'!VALOR_TOTAL_POSTO_44H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André Felipe Flores da Silva</dc:creator>
  <dc:description/>
  <cp:lastModifiedBy>elainevaz</cp:lastModifiedBy>
  <cp:revision>15</cp:revision>
  <cp:lastPrinted>2025-06-27T16:09:39Z</cp:lastPrinted>
  <dcterms:created xsi:type="dcterms:W3CDTF">2014-02-07T18:14:59Z</dcterms:created>
  <dcterms:modified xsi:type="dcterms:W3CDTF">2025-06-27T16:24:30Z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