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yon\Downloads\"/>
    </mc:Choice>
  </mc:AlternateContent>
  <xr:revisionPtr revIDLastSave="0" documentId="8_{1850F6F9-80C9-4DAC-A2C9-383B58058A4F}" xr6:coauthVersionLast="47" xr6:coauthVersionMax="47" xr10:uidLastSave="{00000000-0000-0000-0000-000000000000}"/>
  <bookViews>
    <workbookView xWindow="-110" yWindow="-110" windowWidth="19420" windowHeight="10300" tabRatio="500" firstSheet="3" activeTab="3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  <sheet name="MATERIAIS" sheetId="6" r:id="rId6"/>
    <sheet name="EQUIPAMENTOS_FERRAMENTAS" sheetId="7" r:id="rId7"/>
    <sheet name="EPI" sheetId="8" r:id="rId8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7" i="4" l="1"/>
  <c r="F86" i="4"/>
  <c r="F85" i="4"/>
  <c r="F84" i="4"/>
  <c r="F64" i="1"/>
  <c r="F63" i="1"/>
  <c r="F62" i="1"/>
  <c r="F61" i="1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35" i="8" s="1"/>
  <c r="G36" i="8" s="1"/>
  <c r="G37" i="8" s="1"/>
  <c r="G31" i="7"/>
  <c r="J31" i="7" s="1"/>
  <c r="G30" i="7"/>
  <c r="J30" i="7" s="1"/>
  <c r="G29" i="7"/>
  <c r="J29" i="7" s="1"/>
  <c r="G28" i="7"/>
  <c r="J28" i="7" s="1"/>
  <c r="G27" i="7"/>
  <c r="J27" i="7" s="1"/>
  <c r="G26" i="7"/>
  <c r="J26" i="7" s="1"/>
  <c r="G25" i="7"/>
  <c r="J25" i="7" s="1"/>
  <c r="G24" i="7"/>
  <c r="J24" i="7" s="1"/>
  <c r="G37" i="7"/>
  <c r="J37" i="7" s="1"/>
  <c r="G36" i="7"/>
  <c r="J36" i="7" s="1"/>
  <c r="G35" i="7"/>
  <c r="J35" i="7" s="1"/>
  <c r="G34" i="7"/>
  <c r="J34" i="7" s="1"/>
  <c r="G33" i="7"/>
  <c r="J33" i="7" s="1"/>
  <c r="G32" i="7"/>
  <c r="J32" i="7" s="1"/>
  <c r="G23" i="7"/>
  <c r="J23" i="7" s="1"/>
  <c r="G22" i="7"/>
  <c r="J22" i="7" s="1"/>
  <c r="G21" i="7"/>
  <c r="J21" i="7" s="1"/>
  <c r="G20" i="7"/>
  <c r="J20" i="7" s="1"/>
  <c r="G19" i="7"/>
  <c r="J19" i="7" s="1"/>
  <c r="G18" i="7"/>
  <c r="J18" i="7" s="1"/>
  <c r="G17" i="7"/>
  <c r="J17" i="7" s="1"/>
  <c r="G16" i="7"/>
  <c r="J16" i="7" s="1"/>
  <c r="G15" i="7"/>
  <c r="J15" i="7" s="1"/>
  <c r="G14" i="7"/>
  <c r="J14" i="7" s="1"/>
  <c r="G13" i="7"/>
  <c r="J13" i="7" s="1"/>
  <c r="G12" i="7"/>
  <c r="J12" i="7" s="1"/>
  <c r="G11" i="7"/>
  <c r="J11" i="7" s="1"/>
  <c r="G10" i="7"/>
  <c r="J10" i="7" s="1"/>
  <c r="G9" i="7"/>
  <c r="J9" i="7" s="1"/>
  <c r="G8" i="7"/>
  <c r="J8" i="7" s="1"/>
  <c r="G7" i="7"/>
  <c r="J7" i="7" s="1"/>
  <c r="G6" i="7"/>
  <c r="J6" i="7" s="1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55" i="6" s="1"/>
  <c r="F56" i="6" s="1"/>
  <c r="F57" i="6" s="1"/>
  <c r="F11" i="5"/>
  <c r="F12" i="5" s="1"/>
  <c r="F10" i="5"/>
  <c r="F9" i="5"/>
  <c r="F8" i="5"/>
  <c r="F7" i="5"/>
  <c r="F6" i="5"/>
  <c r="E97" i="4"/>
  <c r="E96" i="4"/>
  <c r="E95" i="4"/>
  <c r="E94" i="4"/>
  <c r="E93" i="4"/>
  <c r="E92" i="4"/>
  <c r="F79" i="4"/>
  <c r="F80" i="4" s="1"/>
  <c r="E75" i="4"/>
  <c r="C75" i="4"/>
  <c r="E62" i="4"/>
  <c r="F55" i="4"/>
  <c r="F54" i="4"/>
  <c r="C54" i="4"/>
  <c r="F53" i="4"/>
  <c r="C53" i="4"/>
  <c r="C52" i="4"/>
  <c r="F51" i="4"/>
  <c r="F50" i="4"/>
  <c r="F56" i="4" s="1"/>
  <c r="E46" i="4"/>
  <c r="E45" i="4"/>
  <c r="E44" i="4"/>
  <c r="E43" i="4"/>
  <c r="E42" i="4"/>
  <c r="E41" i="4"/>
  <c r="E40" i="4"/>
  <c r="E39" i="4"/>
  <c r="F29" i="4"/>
  <c r="C29" i="4"/>
  <c r="F28" i="4"/>
  <c r="C28" i="4"/>
  <c r="F27" i="4"/>
  <c r="C27" i="4"/>
  <c r="F26" i="4"/>
  <c r="F23" i="4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2" i="3"/>
  <c r="E31" i="3"/>
  <c r="E30" i="3"/>
  <c r="E29" i="3"/>
  <c r="E70" i="4" s="1"/>
  <c r="E23" i="3"/>
  <c r="E25" i="3" s="1"/>
  <c r="E22" i="3"/>
  <c r="E21" i="3"/>
  <c r="E20" i="3"/>
  <c r="E17" i="3"/>
  <c r="E24" i="3" s="1"/>
  <c r="E6" i="3"/>
  <c r="E5" i="3"/>
  <c r="F39" i="2"/>
  <c r="F38" i="2"/>
  <c r="F31" i="2"/>
  <c r="E72" i="1"/>
  <c r="E71" i="1"/>
  <c r="E70" i="1"/>
  <c r="J38" i="7" l="1"/>
  <c r="J39" i="7" s="1"/>
  <c r="E64" i="4"/>
  <c r="E63" i="4"/>
  <c r="F88" i="4"/>
  <c r="F105" i="4" s="1"/>
  <c r="F24" i="4"/>
  <c r="F30" i="4" s="1"/>
  <c r="E71" i="4"/>
  <c r="F25" i="4"/>
  <c r="E59" i="4"/>
  <c r="E34" i="4"/>
  <c r="E72" i="4"/>
  <c r="E33" i="3"/>
  <c r="E60" i="4"/>
  <c r="E35" i="4"/>
  <c r="E73" i="4"/>
  <c r="E61" i="4"/>
  <c r="F101" i="4" l="1"/>
  <c r="F34" i="4"/>
  <c r="F36" i="4" s="1"/>
  <c r="F35" i="4"/>
  <c r="E74" i="4"/>
  <c r="F39" i="4" l="1"/>
  <c r="F43" i="4"/>
  <c r="F41" i="4"/>
  <c r="F45" i="4"/>
  <c r="F59" i="4"/>
  <c r="F63" i="4"/>
  <c r="F60" i="4"/>
  <c r="F64" i="4"/>
  <c r="F40" i="4"/>
  <c r="F44" i="4"/>
  <c r="F42" i="4"/>
  <c r="F61" i="4"/>
  <c r="F46" i="4"/>
  <c r="F47" i="4" l="1"/>
  <c r="F62" i="4" l="1"/>
  <c r="F65" i="4" s="1"/>
  <c r="F102" i="4"/>
  <c r="F103" i="4" l="1"/>
  <c r="F75" i="4"/>
  <c r="F71" i="4"/>
  <c r="F72" i="4"/>
  <c r="F73" i="4"/>
  <c r="F74" i="4"/>
  <c r="F70" i="4"/>
  <c r="F76" i="4" l="1"/>
  <c r="F104" i="4" l="1"/>
  <c r="F92" i="4"/>
  <c r="F93" i="4" l="1"/>
  <c r="F97" i="4" s="1"/>
  <c r="F95" i="4" l="1"/>
  <c r="F96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<sst xmlns="http://schemas.openxmlformats.org/spreadsheetml/2006/main" count="602" uniqueCount="332">
  <si>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</si>
  <si>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</si>
  <si>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</si>
  <si>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</si>
  <si>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</si>
  <si>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</si>
  <si>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</si>
  <si>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1.22.000.000104/2024-23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</si>
  <si>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</si>
  <si>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</si>
  <si>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</si>
  <si>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</si>
  <si>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</si>
  <si>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</si>
  <si>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</si>
  <si>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</si>
  <si>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</si>
  <si>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</si>
  <si>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</si>
  <si>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</si>
  <si>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</si>
  <si>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</si>
  <si>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</si>
  <si>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</si>
  <si>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</si>
  <si>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</si>
  <si>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</si>
  <si>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</si>
  <si>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</si>
  <si>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</si>
  <si>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</si>
  <si>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</si>
  <si>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</si>
  <si>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Técnico de Refrigeração</t>
  </si>
  <si>
    <t>Unid.</t>
  </si>
  <si>
    <t>Mão de obra</t>
  </si>
  <si>
    <t>Classificação Brasileira de Ocupações (CBO)</t>
  </si>
  <si>
    <t>9112-05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</si>
  <si>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</si>
  <si>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</si>
  <si>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</si>
  <si>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</si>
  <si>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</si>
  <si>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</si>
  <si>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</si>
  <si>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</si>
  <si>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</si>
  <si>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</si>
  <si>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</si>
  <si>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</si>
  <si>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</si>
  <si>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</si>
  <si>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</si>
  <si>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</si>
  <si>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</si>
  <si>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</si>
  <si>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</si>
  <si>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</si>
  <si>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</si>
  <si>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</si>
  <si>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</si>
  <si>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</si>
  <si>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</si>
  <si>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</si>
  <si>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</si>
  <si>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</si>
  <si>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</si>
  <si>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</si>
  <si>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</si>
  <si>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</si>
  <si>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</si>
  <si>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</si>
  <si>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</si>
  <si>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</si>
  <si>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</si>
  <si>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</si>
  <si>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</si>
  <si>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</si>
  <si>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</si>
  <si>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</si>
  <si>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</si>
  <si>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</si>
  <si>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</si>
  <si>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</si>
  <si>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</si>
  <si>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</si>
  <si>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</si>
  <si>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</si>
  <si>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</si>
  <si>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</si>
  <si>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</si>
  <si>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</si>
  <si>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</si>
  <si>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</si>
  <si>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</si>
  <si>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</si>
  <si>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</si>
  <si>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</si>
  <si>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</si>
  <si>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</si>
  <si>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</si>
  <si>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</si>
  <si>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</si>
  <si>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</si>
  <si>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</si>
  <si>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</si>
  <si>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</si>
  <si>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</si>
  <si>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</si>
  <si>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</si>
  <si>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</si>
  <si>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</si>
  <si>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</si>
  <si>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</si>
  <si>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</si>
  <si>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</si>
  <si>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</si>
  <si>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</si>
  <si>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</si>
  <si>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</si>
  <si>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</si>
  <si>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</si>
  <si>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</si>
  <si>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</si>
  <si>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</si>
  <si>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</si>
  <si>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</si>
  <si>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</si>
  <si>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</si>
  <si>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</si>
  <si>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</si>
  <si>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</si>
  <si>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</si>
  <si>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</si>
  <si>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</si>
  <si>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</si>
  <si>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</si>
  <si>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</si>
  <si>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</si>
  <si>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</si>
  <si>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</si>
  <si>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</si>
  <si>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</si>
  <si>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</si>
  <si>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</si>
  <si>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</si>
  <si>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</si>
  <si>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</si>
  <si>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</si>
  <si>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</si>
  <si>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</si>
  <si>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</si>
  <si>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</si>
  <si>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</si>
  <si>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</si>
  <si>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</si>
  <si>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</si>
  <si>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</si>
  <si>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</si>
  <si>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</si>
  <si>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</si>
  <si>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</si>
  <si>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</si>
  <si>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</si>
  <si>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</si>
  <si>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</si>
  <si>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</si>
  <si>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</si>
  <si>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</si>
  <si>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</si>
  <si>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</si>
  <si>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</si>
  <si>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</si>
  <si>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</si>
  <si>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</si>
  <si>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</si>
  <si>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</si>
  <si>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</si>
  <si>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</si>
  <si>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</si>
  <si>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</si>
  <si>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</si>
  <si>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</si>
  <si>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</si>
  <si>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</si>
  <si>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</si>
  <si>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</si>
  <si>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</si>
  <si>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</si>
  <si>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</si>
  <si>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</si>
  <si>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</si>
  <si>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</si>
  <si>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</si>
  <si>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</si>
  <si>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</si>
  <si>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</si>
  <si>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</si>
  <si>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</si>
  <si>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</si>
  <si>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</si>
  <si>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</si>
  <si>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</si>
  <si>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</si>
  <si>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</si>
  <si>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ANUAL POR FUNCIONÁRIO</t>
  </si>
  <si>
    <t>TOTAL MENSAL POR FUNCIONÁRIO</t>
  </si>
  <si>
    <t>Valor Total</t>
  </si>
  <si>
    <t>Vida útil (anos)</t>
  </si>
  <si>
    <t>Valor Residual (%)</t>
  </si>
  <si>
    <t>Valor de depreciação anual</t>
  </si>
  <si>
    <t>TOTAL POR FUNCIONÁRIO</t>
  </si>
  <si>
    <t>Equipamentos/Ferramentas</t>
  </si>
  <si>
    <t>EPI</t>
  </si>
  <si>
    <t>Camisas de malha piquê tipo polo, de manga curta, 100% algodão, na cor azul ou cor usual da empresa (exceto branco), com a logomarca da Contratada.</t>
  </si>
  <si>
    <t>Calças tipo Calça jeans com bolsos.</t>
  </si>
  <si>
    <t>Bota de segurança confeccionada em cano acolchoado e solado em emborrachado.</t>
  </si>
  <si>
    <t>Pares de meias de cano médio, 100% em algodão, na cor preta.</t>
  </si>
  <si>
    <t>Cinto de couro, na cor preta.</t>
  </si>
  <si>
    <t>MATERIAIS DE CONSUMO</t>
  </si>
  <si>
    <t>Detergente, 5 litros.</t>
  </si>
  <si>
    <t>Estopa Branca Para Polimento, 200 g</t>
  </si>
  <si>
    <t>Lona Plástica Preta, Tam. 4M x 100M</t>
  </si>
  <si>
    <t>Luva de plástico descartável, transparente, cx com 100 unidades.</t>
  </si>
  <si>
    <t>Luvas de látex, cx com 100 unidades.</t>
  </si>
  <si>
    <t>Pano multiuso, tamanho: 50x33 cm, com 5 unidades.</t>
  </si>
  <si>
    <t>Pano de chão, 100% algodão, tamanho: 40x62 cm, pct com 25 peças.</t>
  </si>
  <si>
    <t>Saco de lixo super reforçado, 60 litros, tamanho: 63x80 cm. Biodegradável. Pacote com 100 unidades.</t>
  </si>
  <si>
    <t>Soda cáustica, 1 kg.</t>
  </si>
  <si>
    <t>Fita Isolante Anti Chama 19mm X 20m – Rolo com 20 metros</t>
  </si>
  <si>
    <t>Fita Veda Rosca 18mm x 25m – Rolo com 25 metros</t>
  </si>
  <si>
    <t>Arame galvanizado, Nº 12</t>
  </si>
  <si>
    <t>Balde de plástico 12 litros</t>
  </si>
  <si>
    <t>Bateria alcalina 9 V</t>
  </si>
  <si>
    <t>Broca de Vídea S03</t>
  </si>
  <si>
    <t>Broca de Vídea S06</t>
  </si>
  <si>
    <t>Broca de Vídea S08</t>
  </si>
  <si>
    <t>Broca de Vídea S10</t>
  </si>
  <si>
    <t>Broca de Aço Rápido 2,0 mm</t>
  </si>
  <si>
    <t>Broca de Aço Rápido 2,5 mm</t>
  </si>
  <si>
    <t>Broca de Aço Rápido 3,0 mm</t>
  </si>
  <si>
    <t>Detergente 500 ml</t>
  </si>
  <si>
    <t>Solução de limpeza multiuso 500 ml</t>
  </si>
  <si>
    <t>Estanho em fio para solda 1,0 mm – 500g</t>
  </si>
  <si>
    <t>Estopa 150 g</t>
  </si>
  <si>
    <t>Filtro descartável para aspirador de pó</t>
  </si>
  <si>
    <t>Fita auto fusão/tensão 19 mm x 10 m</t>
  </si>
  <si>
    <t>Fita isolante 19 mm x 20 m</t>
  </si>
  <si>
    <t>Fita dupla face 19mm x 20 m 3M</t>
  </si>
  <si>
    <t>Flanela 39 cm x 59 cm</t>
  </si>
  <si>
    <t>Graxa pote com 500 g</t>
  </si>
  <si>
    <t>Lâmina para arco de serra</t>
  </si>
  <si>
    <t>Limpa Contato 300ml</t>
  </si>
  <si>
    <t>Limpador e restaurador para limpeza pesada em   máquinas,   azulejos,   pisos,   vidros   de refletores e áreas técnicas</t>
  </si>
  <si>
    <t>Pilha alcalina D (grande)</t>
  </si>
  <si>
    <t>Pilha alcalina AA</t>
  </si>
  <si>
    <t>Pilha alcalina AAA (palito)</t>
  </si>
  <si>
    <t>Saco de pano alvejado</t>
  </si>
  <si>
    <t>Vaselina pasta 400g</t>
  </si>
  <si>
    <t>Desengripante WD-40 300 ml</t>
  </si>
  <si>
    <t>Arrebite POP 3,2 mm caixa com 1000 un</t>
  </si>
  <si>
    <t>Arrebite POP 4,0 mm caixa com 500 un</t>
  </si>
  <si>
    <t>Silicone Transparente cura neutra bisnaga de 280 g</t>
  </si>
  <si>
    <t>Silicone  para  vedações  em  alta  temperatura bisnaga 50g Tytan ou similar</t>
  </si>
  <si>
    <t>Terminal pré-isolado tipo Olhal</t>
  </si>
  <si>
    <t>Terminal pré-isolado tipo Pino</t>
  </si>
  <si>
    <t>Terminal pré-isolado tipo Garfo</t>
  </si>
  <si>
    <t>Terminal pré-isolado tipo Encaixe</t>
  </si>
  <si>
    <t>EQUIPAMENTOS/FERRAMENTAS – USO INDIVIDUAL</t>
  </si>
  <si>
    <t>Alicate de pressão 10"</t>
  </si>
  <si>
    <t>Alicate amperímetro digital 700 K</t>
  </si>
  <si>
    <t>Alicate de bico meia cana 6” com cabo isolado</t>
  </si>
  <si>
    <t>Alicate de corte diagonal 6” com cabo isolado</t>
  </si>
  <si>
    <t>Alicate isolante universal 8''</t>
  </si>
  <si>
    <t>Jogo de chave catraca com soquetes</t>
  </si>
  <si>
    <t>Chave ajustável 12"</t>
  </si>
  <si>
    <t>Chaves de philips</t>
  </si>
  <si>
    <t>Cilindro de gás refrigerante R22, 13.6 Kg</t>
  </si>
  <si>
    <t>Escada de alumínio com 08 degraus</t>
  </si>
  <si>
    <t>Extensão elétrica com fio paralelo 2 x 4 mm de 15 m</t>
  </si>
  <si>
    <t>Jogo de chave Allen</t>
  </si>
  <si>
    <t>Jogo de chave combinada</t>
  </si>
  <si>
    <t>Conjunto de solda ppu completo</t>
  </si>
  <si>
    <t>Lava jato</t>
  </si>
  <si>
    <t>Manifold completo de três conexões com visor de líquido e três mangueiras</t>
  </si>
  <si>
    <t>Nível</t>
  </si>
  <si>
    <t>Pincéis</t>
  </si>
  <si>
    <t>Saca polias com três garras</t>
  </si>
  <si>
    <t>Termômetro espeto</t>
  </si>
  <si>
    <t>Trena de 5 m</t>
  </si>
  <si>
    <t>Vacuômetro digital</t>
  </si>
  <si>
    <t>Kit flangeador alargador e cortador de tubos</t>
  </si>
  <si>
    <t>Bomba de vácuo 5 CFM</t>
  </si>
  <si>
    <t>Curvador de tubo ½</t>
  </si>
  <si>
    <t>Curvador de tubo ¾</t>
  </si>
  <si>
    <t>Alicate prensa terminal</t>
  </si>
  <si>
    <t>Arco de serra</t>
  </si>
  <si>
    <t>Balança digital até 20 kg para fruídos refrigerantes</t>
  </si>
  <si>
    <t>Bomba recolhedora de fluído</t>
  </si>
  <si>
    <t>Capacímetro digital portátil</t>
  </si>
  <si>
    <t>Furadeira de impacto</t>
  </si>
  <si>
    <t>EQUIPAMENTOS DE PROTEÇÃO INDIVIDUAL - EPI</t>
  </si>
  <si>
    <t>Abafador de ruídos tipo concha. Atenuação de ruído: 12 dB. Ref. VONDER ou equivalente</t>
  </si>
  <si>
    <t>Bota em PVC, cano médio, sem forro. Ref.: VONDER ou equivalente</t>
  </si>
  <si>
    <t>Botina de segurança com elástico e sem bico de aço. Ref. CARTOM ou equivalente</t>
  </si>
  <si>
    <t>Capacete de segurança, Classe A, com carneira. Ref. VONDER ou equivalente</t>
  </si>
  <si>
    <t>Conjunto cinturão de segurança tipo paraquedista com fivelas para regulagens e argola dorsal para fixação de talabartes</t>
  </si>
  <si>
    <t>Cone sinalizador, cores: branco e laranja, tamanho: 50 cm. Ref. VONDER ou equivalente</t>
  </si>
  <si>
    <t xml:space="preserve">Corda de segurança, 30 Metros, 12mm, Nr18 </t>
  </si>
  <si>
    <t>Fita zebrada, cor preta e amarela, tam.: 70 mm x 200 m.</t>
  </si>
  <si>
    <t>Luva de borracha isolante 500 V</t>
  </si>
  <si>
    <t>Luva em latex, tamanho médio, cor amarela. Ref.: VOLK ou equivalente</t>
  </si>
  <si>
    <t>Luva em raspa, dorso liso, com proteção para punho 20 cm. Ref.: MELETO ou equivalente</t>
  </si>
  <si>
    <t>Luva de vaqueta - longa</t>
  </si>
  <si>
    <t>Respirador semi-facial, categoria PFF-1, sem válvula. Ref.: GRAZIA ou equivalente</t>
  </si>
  <si>
    <t>Mosquetão oval em, com abertura de 18mm e trava dupla. Ref.: CARBOGRAFITE ou equivalente</t>
  </si>
  <si>
    <t>Óculos de proteção –Incolor e antirisco SPECTRA 2000. Ref.: CARBOGRAFITE ou equivalente</t>
  </si>
  <si>
    <t>Cavalete de sinalização “EM MANUTENÇÃO”. Ref. ENCARTALE ou equivalente</t>
  </si>
  <si>
    <t>Protetor auditivo tipo plug, em silicone e cordão em PVC.Atenuação de ruído: 13 dB. Ref. VONDER ou equivalente.</t>
  </si>
  <si>
    <t>Respirador com 02 filtros, semifacial, contra vapores orgânicos e gases ácidos inclusos.</t>
  </si>
  <si>
    <t>Capacete de proteção com Jugular Classe B</t>
  </si>
  <si>
    <t>Protetor Facial 8”</t>
  </si>
  <si>
    <t>Filtro combinado</t>
  </si>
  <si>
    <t>Filtro de vapores orgânicos</t>
  </si>
  <si>
    <t>Cinto   de   Segurança   para   Atividades Suspensas    tipo    Talabarte    Mosquetão Engate Rápido</t>
  </si>
  <si>
    <t>Placa de Aviso “EM MANUTENÇÃO”</t>
  </si>
  <si>
    <t>Óculos de segurança –Transparente</t>
  </si>
  <si>
    <t>Protetor Auricular tipo fone – 103 dB</t>
  </si>
  <si>
    <t>Protetor auricular tipo plug</t>
  </si>
  <si>
    <t>Máscara de Proteção PFF-3</t>
  </si>
  <si>
    <t>Respirador    com    filtro    químico    para vapores orgânicos</t>
  </si>
  <si>
    <t>UNIFORME – TÉCNICO DE REFRIGERAÇÃO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</si>
</sst>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9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  <font>
      <sz val="11"/>
      <color rgb="FF000000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73">
    <xf numFmtId="0" fontId="0" fillId="0" borderId="0" xfId="0"/>
    <xf numFmtId="165" fontId="2" fillId="4" borderId="2" xfId="0" applyNumberFormat="1" applyFont="1" applyFill="1" applyBorder="1" applyAlignment="1">
      <alignment horizontal="left" vertical="center" wrapText="1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3" fillId="3" borderId="2" xfId="0" applyFont="1" applyFill="1" applyBorder="1" applyAlignment="1" applyProtection="1">
      <alignment horizontal="left"/>
      <protection locked="0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18" fillId="6" borderId="0" xfId="0" applyFont="1" applyFill="1"/>
    <xf numFmtId="169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0" fontId="18" fillId="4" borderId="0" xfId="0" applyFont="1" applyFill="1"/>
    <xf numFmtId="169" fontId="2" fillId="4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/>
    </xf>
    <xf numFmtId="169" fontId="2" fillId="4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right"/>
    </xf>
    <xf numFmtId="0" fontId="2" fillId="6" borderId="0" xfId="0" applyFont="1" applyFill="1" applyAlignment="1">
      <alignment horizontal="center"/>
    </xf>
    <xf numFmtId="169" fontId="2" fillId="6" borderId="0" xfId="0" applyNumberFormat="1" applyFont="1" applyFill="1" applyAlignment="1">
      <alignment horizontal="right"/>
    </xf>
    <xf numFmtId="169" fontId="6" fillId="5" borderId="4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4" borderId="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justify" vertical="center"/>
    </xf>
    <xf numFmtId="0" fontId="2" fillId="4" borderId="2" xfId="0" applyFont="1" applyFill="1" applyBorder="1" applyAlignment="1">
      <alignment horizontal="justify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justify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9" fontId="6" fillId="5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A58" zoomScaleNormal="100" workbookViewId="0">
      <selection activeCell="F65" sqref="F65"/>
    </sheetView>
  </sheetViews>
  <sheetFormatPr defaultRowHeight="16.5" x14ac:dyDescent="0.45"/>
  <cols>
    <col min="1" max="1" width="2.7265625" style="16" customWidth="1"/>
    <col min="2" max="2" width="8.81640625" style="16" customWidth="1"/>
    <col min="3" max="3" width="52.54296875" style="16" customWidth="1"/>
    <col min="4" max="4" width="9.54296875" style="16" customWidth="1"/>
    <col min="5" max="5" width="13.54296875" style="16" customWidth="1"/>
    <col min="6" max="6" width="15.453125" style="16" customWidth="1"/>
    <col min="7" max="1025" width="9.08984375" style="16" customWidth="1"/>
  </cols>
  <sheetData>
    <row r="1" spans="2:6" ht="21" x14ac:dyDescent="0.55000000000000004">
      <c r="B1" s="14" t="s">
        <v>0</v>
      </c>
      <c r="C1" s="14"/>
      <c r="D1" s="14"/>
      <c r="E1" s="14"/>
      <c r="F1" s="14"/>
    </row>
    <row r="2" spans="2:6" ht="21" x14ac:dyDescent="0.55000000000000004">
      <c r="B2" s="14" t="s">
        <v>1</v>
      </c>
      <c r="C2" s="14"/>
      <c r="D2" s="14"/>
      <c r="E2" s="17" t="s">
        <v>2</v>
      </c>
      <c r="F2" s="18" t="s">
        <v>3</v>
      </c>
    </row>
    <row r="3" spans="2:6" x14ac:dyDescent="0.45">
      <c r="B3" s="19"/>
      <c r="C3" s="19"/>
      <c r="D3" s="19"/>
      <c r="E3" s="19"/>
      <c r="F3" s="19"/>
    </row>
    <row r="4" spans="2:6" s="19" customFormat="1" ht="25" x14ac:dyDescent="0.7">
      <c r="B4" s="13" t="s">
        <v>4</v>
      </c>
      <c r="C4" s="13"/>
      <c r="D4" s="13"/>
      <c r="E4" s="13"/>
      <c r="F4" s="13"/>
    </row>
    <row r="5" spans="2:6" s="19" customFormat="1" ht="16" customHeight="1" x14ac:dyDescent="0.45">
      <c r="B5" s="12" t="s">
        <v>5</v>
      </c>
      <c r="C5" s="12"/>
      <c r="D5" s="12"/>
      <c r="E5" s="12"/>
      <c r="F5" s="12"/>
    </row>
    <row r="6" spans="2:6" s="19" customFormat="1" ht="16" customHeight="1" x14ac:dyDescent="0.45">
      <c r="B6" s="11" t="s">
        <v>6</v>
      </c>
      <c r="C6" s="11"/>
      <c r="D6" s="10" t="s">
        <v>7</v>
      </c>
      <c r="E6" s="10"/>
      <c r="F6" s="10"/>
    </row>
    <row r="7" spans="2:6" s="19" customFormat="1" ht="15.75" customHeight="1" x14ac:dyDescent="0.45">
      <c r="B7" s="9" t="s">
        <v>8</v>
      </c>
      <c r="C7" s="9"/>
      <c r="D7" s="8" t="s">
        <v>9</v>
      </c>
      <c r="E7" s="8"/>
      <c r="F7" s="20" t="s">
        <v>10</v>
      </c>
    </row>
    <row r="8" spans="2:6" s="19" customFormat="1" ht="15.75" customHeight="1" x14ac:dyDescent="0.45">
      <c r="B8" s="11" t="s">
        <v>11</v>
      </c>
      <c r="C8" s="11"/>
      <c r="D8" s="7" t="s">
        <v>3</v>
      </c>
      <c r="E8" s="7"/>
      <c r="F8" s="20" t="s">
        <v>12</v>
      </c>
    </row>
    <row r="9" spans="2:6" s="19" customFormat="1" ht="9.75" customHeight="1" x14ac:dyDescent="0.45">
      <c r="C9" s="21"/>
      <c r="D9" s="22"/>
      <c r="E9" s="22"/>
      <c r="F9" s="23"/>
    </row>
    <row r="10" spans="2:6" s="19" customFormat="1" ht="15.75" customHeight="1" x14ac:dyDescent="0.45">
      <c r="B10" s="12" t="s">
        <v>13</v>
      </c>
      <c r="C10" s="12"/>
      <c r="D10" s="12"/>
      <c r="E10" s="12"/>
      <c r="F10" s="12"/>
    </row>
    <row r="11" spans="2:6" s="19" customFormat="1" ht="18" customHeight="1" x14ac:dyDescent="0.45">
      <c r="B11" s="24" t="s">
        <v>14</v>
      </c>
      <c r="C11" s="11" t="s">
        <v>15</v>
      </c>
      <c r="D11" s="11"/>
      <c r="E11" s="11"/>
      <c r="F11" s="25" t="s">
        <v>3</v>
      </c>
    </row>
    <row r="12" spans="2:6" s="19" customFormat="1" ht="16" customHeight="1" x14ac:dyDescent="0.3">
      <c r="B12" s="26" t="s">
        <v>16</v>
      </c>
      <c r="C12" s="27" t="s">
        <v>17</v>
      </c>
      <c r="D12" s="6" t="s">
        <v>18</v>
      </c>
      <c r="E12" s="6"/>
      <c r="F12" s="6"/>
    </row>
    <row r="13" spans="2:6" s="19" customFormat="1" ht="16" customHeight="1" x14ac:dyDescent="0.45">
      <c r="B13" s="24" t="s">
        <v>19</v>
      </c>
      <c r="C13" s="11" t="s">
        <v>20</v>
      </c>
      <c r="D13" s="11"/>
      <c r="E13" s="11"/>
      <c r="F13" s="28" t="s">
        <v>21</v>
      </c>
    </row>
    <row r="14" spans="2:6" s="19" customFormat="1" ht="18.75" customHeight="1" x14ac:dyDescent="0.45">
      <c r="B14" s="26" t="s">
        <v>22</v>
      </c>
      <c r="C14" s="5" t="s">
        <v>23</v>
      </c>
      <c r="D14" s="5"/>
      <c r="E14" s="5"/>
      <c r="F14" s="20" t="s">
        <v>24</v>
      </c>
    </row>
    <row r="15" spans="2:6" s="19" customFormat="1" ht="16" customHeight="1" x14ac:dyDescent="0.45">
      <c r="B15" s="26" t="s">
        <v>25</v>
      </c>
      <c r="C15" s="11" t="s">
        <v>26</v>
      </c>
      <c r="D15" s="11"/>
      <c r="E15" s="11"/>
      <c r="F15" s="30">
        <v>12</v>
      </c>
    </row>
    <row r="16" spans="2:6" s="19" customFormat="1" ht="16" customHeight="1" x14ac:dyDescent="0.45">
      <c r="C16" s="21"/>
      <c r="D16" s="22"/>
      <c r="E16" s="22"/>
      <c r="F16" s="23"/>
    </row>
    <row r="17" spans="2:6" s="19" customFormat="1" x14ac:dyDescent="0.45">
      <c r="B17" s="12" t="s">
        <v>27</v>
      </c>
      <c r="C17" s="12"/>
      <c r="D17" s="12"/>
      <c r="E17" s="12"/>
      <c r="F17" s="12"/>
    </row>
    <row r="18" spans="2:6" s="31" customFormat="1" ht="49.5" x14ac:dyDescent="0.25">
      <c r="B18" s="32" t="s">
        <v>28</v>
      </c>
      <c r="C18" s="32" t="s">
        <v>29</v>
      </c>
      <c r="D18" s="33" t="s">
        <v>30</v>
      </c>
      <c r="E18" s="33" t="s">
        <v>31</v>
      </c>
      <c r="F18" s="33" t="s">
        <v>32</v>
      </c>
    </row>
    <row r="19" spans="2:6" s="19" customFormat="1" ht="16.5" customHeight="1" x14ac:dyDescent="0.45">
      <c r="B19" s="24">
        <v>1</v>
      </c>
      <c r="C19" s="34" t="s">
        <v>33</v>
      </c>
      <c r="D19" s="35" t="s">
        <v>34</v>
      </c>
      <c r="E19" s="36">
        <v>1</v>
      </c>
      <c r="F19" s="35">
        <v>1</v>
      </c>
    </row>
    <row r="20" spans="2:6" s="19" customFormat="1" ht="16" customHeight="1" x14ac:dyDescent="0.45">
      <c r="B20" s="37"/>
      <c r="C20" s="37"/>
      <c r="D20" s="37"/>
      <c r="E20" s="37"/>
      <c r="F20" s="37"/>
    </row>
    <row r="21" spans="2:6" s="19" customFormat="1" ht="15" customHeight="1" x14ac:dyDescent="0.45">
      <c r="B21" s="12" t="s">
        <v>35</v>
      </c>
      <c r="C21" s="12"/>
      <c r="D21" s="12"/>
      <c r="E21" s="12"/>
      <c r="F21" s="12"/>
    </row>
    <row r="22" spans="2:6" s="19" customFormat="1" ht="15" customHeight="1" x14ac:dyDescent="0.45">
      <c r="B22" s="24">
        <v>1</v>
      </c>
      <c r="C22" s="38" t="s">
        <v>36</v>
      </c>
      <c r="D22" s="10" t="s">
        <v>37</v>
      </c>
      <c r="E22" s="10"/>
      <c r="F22" s="10"/>
    </row>
    <row r="23" spans="2:6" s="19" customFormat="1" ht="23" customHeight="1" x14ac:dyDescent="0.45">
      <c r="B23" s="24">
        <v>2</v>
      </c>
      <c r="C23" s="39" t="s">
        <v>38</v>
      </c>
      <c r="D23" s="4" t="s">
        <v>33</v>
      </c>
      <c r="E23" s="4"/>
      <c r="F23" s="4"/>
    </row>
    <row r="24" spans="2:6" s="19" customFormat="1" ht="16" customHeight="1" x14ac:dyDescent="0.45">
      <c r="B24" s="24">
        <v>3</v>
      </c>
      <c r="C24" s="11" t="s">
        <v>39</v>
      </c>
      <c r="D24" s="11"/>
      <c r="E24" s="11"/>
      <c r="F24" s="25">
        <v>45658</v>
      </c>
    </row>
    <row r="25" spans="2:6" s="19" customFormat="1" ht="16" customHeight="1" x14ac:dyDescent="0.45">
      <c r="B25" s="24">
        <v>4</v>
      </c>
      <c r="C25" s="9" t="s">
        <v>40</v>
      </c>
      <c r="D25" s="9"/>
      <c r="E25" s="9"/>
      <c r="F25" s="40">
        <v>1518</v>
      </c>
    </row>
    <row r="26" spans="2:6" s="19" customFormat="1" x14ac:dyDescent="0.45">
      <c r="B26" s="41"/>
      <c r="C26" s="42"/>
      <c r="D26" s="42"/>
      <c r="E26" s="42"/>
      <c r="F26" s="43"/>
    </row>
    <row r="27" spans="2:6" s="19" customFormat="1" ht="25" x14ac:dyDescent="0.7">
      <c r="B27" s="44" t="s">
        <v>41</v>
      </c>
      <c r="C27" s="16"/>
      <c r="D27" s="16"/>
      <c r="E27" s="16"/>
      <c r="F27" s="16"/>
    </row>
    <row r="28" spans="2:6" x14ac:dyDescent="0.45">
      <c r="B28" s="45" t="s">
        <v>42</v>
      </c>
      <c r="E28" s="46"/>
      <c r="F28" s="46"/>
    </row>
    <row r="29" spans="2:6" ht="16.5" customHeight="1" x14ac:dyDescent="0.45">
      <c r="B29" s="26">
        <v>1</v>
      </c>
      <c r="C29" s="3" t="s">
        <v>43</v>
      </c>
      <c r="D29" s="3"/>
      <c r="E29" s="3"/>
      <c r="F29" s="47" t="s">
        <v>44</v>
      </c>
    </row>
    <row r="30" spans="2:6" ht="16.399999999999999" customHeight="1" x14ac:dyDescent="0.45">
      <c r="B30" s="26" t="s">
        <v>14</v>
      </c>
      <c r="C30" s="2" t="s">
        <v>45</v>
      </c>
      <c r="D30" s="2"/>
      <c r="E30" s="2"/>
      <c r="F30" s="48">
        <v>1984.58</v>
      </c>
    </row>
    <row r="31" spans="2:6" ht="16.5" customHeight="1" x14ac:dyDescent="0.45">
      <c r="B31" s="26" t="s">
        <v>16</v>
      </c>
      <c r="C31" s="5" t="s">
        <v>46</v>
      </c>
      <c r="D31" s="5"/>
      <c r="E31" s="5"/>
      <c r="F31" s="49"/>
    </row>
    <row r="32" spans="2:6" ht="16.5" customHeight="1" x14ac:dyDescent="0.45">
      <c r="B32" s="26" t="s">
        <v>19</v>
      </c>
      <c r="C32" s="2" t="s">
        <v>47</v>
      </c>
      <c r="D32" s="2"/>
      <c r="E32" s="2"/>
      <c r="F32" s="49"/>
    </row>
    <row r="33" spans="1:6" ht="16.5" customHeight="1" x14ac:dyDescent="0.45">
      <c r="B33" s="26" t="s">
        <v>22</v>
      </c>
      <c r="C33" s="1" t="s">
        <v>48</v>
      </c>
      <c r="D33" s="1"/>
      <c r="E33" s="1"/>
      <c r="F33" s="49"/>
    </row>
    <row r="34" spans="1:6" ht="16.5" customHeight="1" x14ac:dyDescent="0.45">
      <c r="B34" s="26" t="s">
        <v>25</v>
      </c>
      <c r="C34" s="15" t="s">
        <v>49</v>
      </c>
      <c r="D34" s="15"/>
      <c r="E34" s="15"/>
      <c r="F34" s="48"/>
    </row>
    <row r="35" spans="1:6" ht="16.5" customHeight="1" x14ac:dyDescent="0.45">
      <c r="B35" s="26" t="s">
        <v>50</v>
      </c>
      <c r="C35" s="15" t="s">
        <v>51</v>
      </c>
      <c r="D35" s="15"/>
      <c r="E35" s="15"/>
      <c r="F35" s="48"/>
    </row>
    <row r="36" spans="1:6" ht="16.5" customHeight="1" x14ac:dyDescent="0.45">
      <c r="B36" s="26" t="s">
        <v>52</v>
      </c>
      <c r="C36" s="15" t="s">
        <v>53</v>
      </c>
      <c r="D36" s="15"/>
      <c r="E36" s="15"/>
      <c r="F36" s="48"/>
    </row>
    <row r="37" spans="1:6" s="50" customFormat="1" x14ac:dyDescent="0.45"/>
    <row r="38" spans="1:6" s="50" customFormat="1" x14ac:dyDescent="0.45">
      <c r="A38" s="16"/>
      <c r="B38" s="45" t="s">
        <v>54</v>
      </c>
      <c r="C38" s="16"/>
      <c r="D38" s="16"/>
      <c r="E38" s="51"/>
      <c r="F38" s="51"/>
    </row>
    <row r="39" spans="1:6" s="50" customFormat="1" x14ac:dyDescent="0.45">
      <c r="A39" s="16"/>
      <c r="B39" s="45" t="s">
        <v>55</v>
      </c>
      <c r="C39" s="19"/>
      <c r="D39" s="19"/>
      <c r="E39" s="19"/>
      <c r="F39" s="19"/>
    </row>
    <row r="40" spans="1:6" s="50" customFormat="1" ht="15" customHeight="1" x14ac:dyDescent="0.45">
      <c r="A40" s="16"/>
      <c r="B40" s="26" t="s">
        <v>56</v>
      </c>
      <c r="C40" s="3" t="s">
        <v>57</v>
      </c>
      <c r="D40" s="3"/>
      <c r="E40" s="47" t="s">
        <v>58</v>
      </c>
      <c r="F40" s="47" t="s">
        <v>59</v>
      </c>
    </row>
    <row r="41" spans="1:6" s="50" customFormat="1" x14ac:dyDescent="0.45">
      <c r="A41" s="16"/>
      <c r="B41" s="52" t="s">
        <v>14</v>
      </c>
      <c r="C41" s="11" t="s">
        <v>60</v>
      </c>
      <c r="D41" s="11"/>
      <c r="E41" s="30" t="s">
        <v>61</v>
      </c>
      <c r="F41" s="53">
        <v>7.4</v>
      </c>
    </row>
    <row r="42" spans="1:6" s="50" customFormat="1" x14ac:dyDescent="0.45">
      <c r="B42" s="52" t="s">
        <v>16</v>
      </c>
      <c r="C42" s="9" t="s">
        <v>62</v>
      </c>
      <c r="D42" s="9"/>
      <c r="E42" s="54" t="s">
        <v>61</v>
      </c>
      <c r="F42" s="53">
        <v>27</v>
      </c>
    </row>
    <row r="43" spans="1:6" s="50" customFormat="1" x14ac:dyDescent="0.45">
      <c r="B43" s="52" t="s">
        <v>19</v>
      </c>
      <c r="C43" s="11" t="s">
        <v>63</v>
      </c>
      <c r="D43" s="11"/>
      <c r="E43" s="30" t="s">
        <v>64</v>
      </c>
      <c r="F43" s="55">
        <v>22</v>
      </c>
    </row>
    <row r="44" spans="1:6" ht="16.399999999999999" customHeight="1" x14ac:dyDescent="0.45">
      <c r="B44" s="52" t="s">
        <v>22</v>
      </c>
      <c r="C44" s="15" t="s">
        <v>65</v>
      </c>
      <c r="D44" s="15"/>
      <c r="E44" s="56" t="s">
        <v>64</v>
      </c>
      <c r="F44" s="48">
        <v>20.79</v>
      </c>
    </row>
    <row r="45" spans="1:6" ht="16.399999999999999" customHeight="1" x14ac:dyDescent="0.45">
      <c r="B45" s="52" t="s">
        <v>25</v>
      </c>
      <c r="C45" s="15" t="s">
        <v>66</v>
      </c>
      <c r="D45" s="15"/>
      <c r="E45" s="56" t="s">
        <v>64</v>
      </c>
      <c r="F45" s="48"/>
    </row>
    <row r="46" spans="1:6" ht="16.399999999999999" customHeight="1" x14ac:dyDescent="0.45">
      <c r="B46" s="52" t="s">
        <v>50</v>
      </c>
      <c r="C46" s="15" t="s">
        <v>67</v>
      </c>
      <c r="D46" s="15"/>
      <c r="E46" s="56" t="s">
        <v>64</v>
      </c>
      <c r="F46" s="48"/>
    </row>
    <row r="47" spans="1:6" ht="16.399999999999999" customHeight="1" x14ac:dyDescent="0.45">
      <c r="B47" s="52" t="s">
        <v>52</v>
      </c>
      <c r="C47" s="15" t="s">
        <v>68</v>
      </c>
      <c r="D47" s="15"/>
      <c r="E47" s="56" t="s">
        <v>64</v>
      </c>
      <c r="F47" s="48"/>
    </row>
    <row r="48" spans="1:6" s="50" customFormat="1" x14ac:dyDescent="0.45"/>
    <row r="49" spans="1:6" s="19" customFormat="1" x14ac:dyDescent="0.45">
      <c r="B49" s="45" t="s">
        <v>69</v>
      </c>
      <c r="C49" s="57"/>
      <c r="D49" s="58"/>
      <c r="E49" s="16"/>
      <c r="F49" s="16"/>
    </row>
    <row r="50" spans="1:6" s="19" customFormat="1" ht="15" customHeight="1" x14ac:dyDescent="0.45">
      <c r="B50" s="45" t="s">
        <v>70</v>
      </c>
      <c r="C50" s="57"/>
      <c r="D50" s="58"/>
      <c r="E50" s="59"/>
      <c r="F50" s="59"/>
    </row>
    <row r="51" spans="1:6" ht="16.5" customHeight="1" x14ac:dyDescent="0.45">
      <c r="A51" s="19"/>
      <c r="B51" s="26" t="s">
        <v>71</v>
      </c>
      <c r="C51" s="3" t="s">
        <v>72</v>
      </c>
      <c r="D51" s="3"/>
      <c r="E51" s="3"/>
      <c r="F51" s="47" t="s">
        <v>73</v>
      </c>
    </row>
    <row r="52" spans="1:6" s="50" customFormat="1" ht="16.5" customHeight="1" x14ac:dyDescent="0.45">
      <c r="B52" s="47" t="s">
        <v>14</v>
      </c>
      <c r="C52" s="140" t="s">
        <v>74</v>
      </c>
      <c r="D52" s="140"/>
      <c r="E52" s="140"/>
      <c r="F52" s="53"/>
    </row>
    <row r="53" spans="1:6" x14ac:dyDescent="0.45">
      <c r="B53" s="50"/>
      <c r="C53" s="50"/>
      <c r="D53" s="50"/>
      <c r="E53" s="50"/>
      <c r="F53" s="50"/>
    </row>
    <row r="54" spans="1:6" x14ac:dyDescent="0.45">
      <c r="B54" s="45" t="s">
        <v>75</v>
      </c>
      <c r="C54" s="57"/>
      <c r="D54" s="58"/>
      <c r="E54" s="59"/>
      <c r="F54" s="59"/>
    </row>
    <row r="55" spans="1:6" x14ac:dyDescent="0.45">
      <c r="B55" s="26" t="s">
        <v>76</v>
      </c>
      <c r="C55" s="141" t="s">
        <v>77</v>
      </c>
      <c r="D55" s="141"/>
      <c r="E55" s="141"/>
      <c r="F55" s="47" t="s">
        <v>78</v>
      </c>
    </row>
    <row r="56" spans="1:6" ht="15" customHeight="1" x14ac:dyDescent="0.45">
      <c r="B56" s="26" t="s">
        <v>14</v>
      </c>
      <c r="C56" s="2" t="s">
        <v>79</v>
      </c>
      <c r="D56" s="2"/>
      <c r="E56" s="2"/>
      <c r="F56" s="49"/>
    </row>
    <row r="57" spans="1:6" s="50" customFormat="1" ht="16.5" customHeight="1" x14ac:dyDescent="0.45">
      <c r="B57" s="26" t="s">
        <v>16</v>
      </c>
      <c r="C57" s="5" t="s">
        <v>80</v>
      </c>
      <c r="D57" s="5"/>
      <c r="E57" s="5"/>
      <c r="F57" s="49"/>
    </row>
    <row r="58" spans="1:6" x14ac:dyDescent="0.45">
      <c r="B58" s="50"/>
      <c r="C58" s="50"/>
      <c r="D58" s="50"/>
      <c r="E58" s="50"/>
      <c r="F58" s="50"/>
    </row>
    <row r="59" spans="1:6" ht="15.75" customHeight="1" x14ac:dyDescent="0.45">
      <c r="B59" s="45" t="s">
        <v>81</v>
      </c>
      <c r="C59" s="57"/>
      <c r="D59" s="57"/>
      <c r="E59" s="59"/>
      <c r="F59" s="59"/>
    </row>
    <row r="60" spans="1:6" ht="16.5" customHeight="1" x14ac:dyDescent="0.45">
      <c r="B60" s="60">
        <v>5</v>
      </c>
      <c r="C60" s="142" t="s">
        <v>82</v>
      </c>
      <c r="D60" s="142"/>
      <c r="E60" s="142"/>
      <c r="F60" s="61" t="s">
        <v>83</v>
      </c>
    </row>
    <row r="61" spans="1:6" ht="16.399999999999999" customHeight="1" x14ac:dyDescent="0.45">
      <c r="B61" s="62" t="s">
        <v>14</v>
      </c>
      <c r="C61" s="143" t="s">
        <v>84</v>
      </c>
      <c r="D61" s="143"/>
      <c r="E61" s="143"/>
      <c r="F61" s="63">
        <f>UNIFORME!F12</f>
        <v>121.16500000000002</v>
      </c>
    </row>
    <row r="62" spans="1:6" s="64" customFormat="1" ht="16.5" customHeight="1" x14ac:dyDescent="0.45">
      <c r="A62" s="16"/>
      <c r="B62" s="62" t="s">
        <v>16</v>
      </c>
      <c r="C62" s="144" t="s">
        <v>85</v>
      </c>
      <c r="D62" s="144"/>
      <c r="E62" s="144"/>
      <c r="F62" s="63">
        <f>MATERIAIS!F57</f>
        <v>99.039166666666702</v>
      </c>
    </row>
    <row r="63" spans="1:6" s="64" customFormat="1" ht="16.399999999999999" customHeight="1" x14ac:dyDescent="0.45">
      <c r="A63" s="16"/>
      <c r="B63" s="62" t="s">
        <v>19</v>
      </c>
      <c r="C63" s="143" t="s">
        <v>212</v>
      </c>
      <c r="D63" s="143"/>
      <c r="E63" s="143"/>
      <c r="F63" s="63">
        <f>EQUIPAMENTOS_FERRAMENTAS!J39</f>
        <v>202.02933333333337</v>
      </c>
    </row>
    <row r="64" spans="1:6" s="50" customFormat="1" ht="16.5" customHeight="1" x14ac:dyDescent="0.45">
      <c r="B64" s="62" t="s">
        <v>22</v>
      </c>
      <c r="C64" s="15" t="s">
        <v>213</v>
      </c>
      <c r="D64" s="15"/>
      <c r="E64" s="15"/>
      <c r="F64" s="48">
        <f>EPI!G37</f>
        <v>282.86527777777775</v>
      </c>
    </row>
    <row r="65" spans="1:6" s="65" customFormat="1" ht="16.5" customHeight="1" x14ac:dyDescent="0.45">
      <c r="A65" s="16"/>
      <c r="B65" s="50"/>
      <c r="C65" s="50"/>
      <c r="D65" s="50"/>
      <c r="E65" s="50"/>
      <c r="F65" s="50"/>
    </row>
    <row r="66" spans="1:6" s="66" customFormat="1" ht="16.5" customHeight="1" x14ac:dyDescent="0.45">
      <c r="A66" s="16"/>
      <c r="B66" s="145" t="s">
        <v>86</v>
      </c>
      <c r="C66" s="145"/>
      <c r="D66" s="145"/>
      <c r="E66" s="145"/>
      <c r="F66" s="145"/>
    </row>
    <row r="67" spans="1:6" s="66" customFormat="1" x14ac:dyDescent="0.45">
      <c r="A67" s="64"/>
      <c r="B67" s="26">
        <v>6</v>
      </c>
      <c r="C67" s="141" t="s">
        <v>87</v>
      </c>
      <c r="D67" s="141"/>
      <c r="E67" s="141"/>
      <c r="F67" s="47" t="s">
        <v>73</v>
      </c>
    </row>
    <row r="68" spans="1:6" s="66" customFormat="1" ht="16.399999999999999" customHeight="1" x14ac:dyDescent="0.45">
      <c r="A68" s="64"/>
      <c r="B68" s="26" t="s">
        <v>14</v>
      </c>
      <c r="C68" s="146" t="s">
        <v>88</v>
      </c>
      <c r="D68" s="146"/>
      <c r="E68" s="146"/>
      <c r="F68" s="67">
        <v>4.7300000000000004</v>
      </c>
    </row>
    <row r="69" spans="1:6" s="66" customFormat="1" ht="16.399999999999999" customHeight="1" x14ac:dyDescent="0.45">
      <c r="A69" s="65"/>
      <c r="B69" s="47" t="s">
        <v>16</v>
      </c>
      <c r="C69" s="5" t="s">
        <v>89</v>
      </c>
      <c r="D69" s="5"/>
      <c r="E69" s="5"/>
      <c r="F69" s="67">
        <v>5.57</v>
      </c>
    </row>
    <row r="70" spans="1:6" ht="16.399999999999999" customHeight="1" x14ac:dyDescent="0.45">
      <c r="B70" s="68" t="s">
        <v>90</v>
      </c>
      <c r="C70" s="146" t="s">
        <v>91</v>
      </c>
      <c r="D70" s="146"/>
      <c r="E70" s="146">
        <f>PERC_PIS</f>
        <v>0.65</v>
      </c>
      <c r="F70" s="67">
        <v>0.65</v>
      </c>
    </row>
    <row r="71" spans="1:6" ht="16.399999999999999" customHeight="1" x14ac:dyDescent="0.45">
      <c r="B71" s="68" t="s">
        <v>92</v>
      </c>
      <c r="C71" s="5" t="s">
        <v>93</v>
      </c>
      <c r="D71" s="5"/>
      <c r="E71" s="5">
        <f>PERC_COFINS</f>
        <v>3</v>
      </c>
      <c r="F71" s="67">
        <v>3</v>
      </c>
    </row>
    <row r="72" spans="1:6" s="50" customFormat="1" ht="16.399999999999999" customHeight="1" x14ac:dyDescent="0.45">
      <c r="B72" s="68" t="s">
        <v>94</v>
      </c>
      <c r="C72" s="146" t="s">
        <v>95</v>
      </c>
      <c r="D72" s="146"/>
      <c r="E72" s="146">
        <f>PERC_ISS</f>
        <v>5</v>
      </c>
      <c r="F72" s="67">
        <v>5</v>
      </c>
    </row>
    <row r="73" spans="1:6" x14ac:dyDescent="0.45">
      <c r="B73" s="50"/>
      <c r="C73" s="50"/>
      <c r="D73" s="50"/>
      <c r="E73" s="50"/>
      <c r="F73" s="50"/>
    </row>
    <row r="74" spans="1:6" ht="33.75" customHeight="1" x14ac:dyDescent="0.45">
      <c r="B74" s="69" t="s">
        <v>96</v>
      </c>
      <c r="C74" s="70"/>
      <c r="D74" s="70"/>
      <c r="E74" s="70"/>
      <c r="F74" s="71"/>
    </row>
    <row r="75" spans="1:6" ht="32.25" customHeight="1" x14ac:dyDescent="0.45">
      <c r="B75" s="147" t="s">
        <v>97</v>
      </c>
      <c r="C75" s="147"/>
      <c r="D75" s="147"/>
      <c r="E75" s="147"/>
      <c r="F75" s="147"/>
    </row>
  </sheetData>
  <mergeCells count="56">
    <mergeCell ref="C69:E69"/>
    <mergeCell ref="C70:E70"/>
    <mergeCell ref="C71:E71"/>
    <mergeCell ref="C72:E72"/>
    <mergeCell ref="B75:F75"/>
    <mergeCell ref="C63:E63"/>
    <mergeCell ref="C64:E64"/>
    <mergeCell ref="B66:F66"/>
    <mergeCell ref="C67:E67"/>
    <mergeCell ref="C68:E68"/>
    <mergeCell ref="C56:E56"/>
    <mergeCell ref="C57:E57"/>
    <mergeCell ref="C60:E60"/>
    <mergeCell ref="C61:E61"/>
    <mergeCell ref="C62:E62"/>
    <mergeCell ref="C46:D46"/>
    <mergeCell ref="C47:D47"/>
    <mergeCell ref="C51:E51"/>
    <mergeCell ref="C52:E52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1" zoomScaleNormal="100" workbookViewId="0">
      <selection activeCell="F14" sqref="F14"/>
    </sheetView>
  </sheetViews>
  <sheetFormatPr defaultRowHeight="16.5" x14ac:dyDescent="0.45"/>
  <cols>
    <col min="1" max="1" width="2.7265625" style="16" customWidth="1"/>
    <col min="2" max="2" width="8.81640625" style="16" customWidth="1"/>
    <col min="3" max="3" width="52.54296875" style="16" customWidth="1"/>
    <col min="4" max="4" width="9.54296875" style="16" customWidth="1"/>
    <col min="5" max="5" width="13.54296875" style="16" customWidth="1"/>
    <col min="6" max="6" width="15.453125" style="16" customWidth="1"/>
    <col min="7" max="1015" width="9.08984375" style="16" customWidth="1"/>
    <col min="1016" max="1025" width="8.6328125" customWidth="1"/>
  </cols>
  <sheetData>
    <row r="1" spans="1:6" s="19" customFormat="1" ht="25" x14ac:dyDescent="0.7">
      <c r="B1" s="44" t="s">
        <v>98</v>
      </c>
      <c r="C1" s="16"/>
      <c r="D1" s="16"/>
      <c r="E1" s="16"/>
      <c r="F1" s="16"/>
    </row>
    <row r="2" spans="1:6" x14ac:dyDescent="0.45">
      <c r="B2" s="45" t="s">
        <v>42</v>
      </c>
      <c r="E2" s="46"/>
      <c r="F2" s="46"/>
    </row>
    <row r="3" spans="1:6" ht="31.25" customHeight="1" x14ac:dyDescent="0.45">
      <c r="B3" s="26">
        <v>1</v>
      </c>
      <c r="C3" s="3" t="s">
        <v>43</v>
      </c>
      <c r="D3" s="3"/>
      <c r="E3" s="3"/>
      <c r="F3" s="47" t="s">
        <v>99</v>
      </c>
    </row>
    <row r="4" spans="1:6" ht="16.399999999999999" customHeight="1" x14ac:dyDescent="0.45">
      <c r="B4" s="26" t="s">
        <v>25</v>
      </c>
      <c r="C4" s="146" t="s">
        <v>100</v>
      </c>
      <c r="D4" s="146"/>
      <c r="E4" s="146"/>
      <c r="F4" s="72">
        <v>220</v>
      </c>
    </row>
    <row r="5" spans="1:6" ht="16.399999999999999" customHeight="1" x14ac:dyDescent="0.45">
      <c r="B5" s="26" t="s">
        <v>50</v>
      </c>
      <c r="C5" s="1" t="s">
        <v>101</v>
      </c>
      <c r="D5" s="1"/>
      <c r="E5" s="1"/>
      <c r="F5" s="73">
        <v>7</v>
      </c>
    </row>
    <row r="6" spans="1:6" ht="16.399999999999999" customHeight="1" x14ac:dyDescent="0.45">
      <c r="B6" s="26" t="s">
        <v>52</v>
      </c>
      <c r="C6" s="146" t="s">
        <v>102</v>
      </c>
      <c r="D6" s="146"/>
      <c r="E6" s="146"/>
      <c r="F6" s="72">
        <v>365</v>
      </c>
    </row>
    <row r="7" spans="1:6" ht="16.399999999999999" customHeight="1" x14ac:dyDescent="0.45">
      <c r="B7" s="26" t="s">
        <v>103</v>
      </c>
      <c r="C7" s="1" t="s">
        <v>104</v>
      </c>
      <c r="D7" s="1"/>
      <c r="E7" s="1"/>
      <c r="F7" s="74">
        <v>22</v>
      </c>
    </row>
    <row r="8" spans="1:6" ht="16.399999999999999" customHeight="1" x14ac:dyDescent="0.45">
      <c r="B8" s="26" t="s">
        <v>105</v>
      </c>
      <c r="C8" s="146" t="s">
        <v>106</v>
      </c>
      <c r="D8" s="146"/>
      <c r="E8" s="146"/>
      <c r="F8" s="72">
        <v>12</v>
      </c>
    </row>
    <row r="9" spans="1:6" ht="16.399999999999999" customHeight="1" x14ac:dyDescent="0.45">
      <c r="B9" s="26" t="s">
        <v>107</v>
      </c>
      <c r="C9" s="1" t="s">
        <v>108</v>
      </c>
      <c r="D9" s="1"/>
      <c r="E9" s="1"/>
      <c r="F9" s="73">
        <v>60</v>
      </c>
    </row>
    <row r="10" spans="1:6" s="16" customFormat="1" ht="16.399999999999999" customHeight="1" x14ac:dyDescent="0.45">
      <c r="B10" s="26" t="s">
        <v>109</v>
      </c>
      <c r="C10" s="146" t="s">
        <v>110</v>
      </c>
      <c r="D10" s="146"/>
      <c r="E10" s="146"/>
      <c r="F10" s="75">
        <v>52.5</v>
      </c>
    </row>
    <row r="11" spans="1:6" s="50" customFormat="1" x14ac:dyDescent="0.45"/>
    <row r="12" spans="1:6" s="50" customFormat="1" x14ac:dyDescent="0.45">
      <c r="A12" s="16"/>
      <c r="B12" s="45" t="s">
        <v>55</v>
      </c>
      <c r="C12" s="19"/>
      <c r="D12" s="19"/>
      <c r="E12" s="19"/>
      <c r="F12" s="19"/>
    </row>
    <row r="13" spans="1:6" s="50" customFormat="1" ht="16.399999999999999" customHeight="1" x14ac:dyDescent="0.45">
      <c r="A13" s="16"/>
      <c r="B13" s="26" t="s">
        <v>56</v>
      </c>
      <c r="C13" s="3" t="s">
        <v>57</v>
      </c>
      <c r="D13" s="3"/>
      <c r="E13" s="47" t="s">
        <v>58</v>
      </c>
      <c r="F13" s="47" t="s">
        <v>73</v>
      </c>
    </row>
    <row r="14" spans="1:6" s="50" customFormat="1" x14ac:dyDescent="0.45">
      <c r="B14" s="52" t="s">
        <v>19</v>
      </c>
      <c r="C14" s="9" t="s">
        <v>111</v>
      </c>
      <c r="D14" s="9"/>
      <c r="E14" s="54" t="s">
        <v>64</v>
      </c>
      <c r="F14" s="76">
        <v>6</v>
      </c>
    </row>
    <row r="15" spans="1:6" s="50" customFormat="1" x14ac:dyDescent="0.45"/>
    <row r="16" spans="1:6" s="19" customFormat="1" x14ac:dyDescent="0.45">
      <c r="A16" s="50"/>
      <c r="B16" s="45" t="s">
        <v>112</v>
      </c>
      <c r="C16" s="57"/>
      <c r="D16" s="58"/>
      <c r="E16" s="59"/>
      <c r="F16" s="59"/>
    </row>
    <row r="17" spans="1:6" s="19" customFormat="1" x14ac:dyDescent="0.45">
      <c r="A17" s="50"/>
      <c r="B17" s="26">
        <v>3</v>
      </c>
      <c r="C17" s="141" t="s">
        <v>113</v>
      </c>
      <c r="D17" s="141"/>
      <c r="E17" s="141"/>
      <c r="F17" s="47" t="s">
        <v>114</v>
      </c>
    </row>
    <row r="18" spans="1:6" s="19" customFormat="1" ht="16.399999999999999" customHeight="1" x14ac:dyDescent="0.45">
      <c r="A18" s="50"/>
      <c r="B18" s="26" t="s">
        <v>14</v>
      </c>
      <c r="C18" s="146" t="s">
        <v>115</v>
      </c>
      <c r="D18" s="146"/>
      <c r="E18" s="146"/>
      <c r="F18" s="77">
        <v>56.24</v>
      </c>
    </row>
    <row r="19" spans="1:6" x14ac:dyDescent="0.45">
      <c r="A19" s="50"/>
      <c r="B19" s="47" t="s">
        <v>16</v>
      </c>
      <c r="C19" s="148" t="s">
        <v>116</v>
      </c>
      <c r="D19" s="148"/>
      <c r="E19" s="148"/>
      <c r="F19" s="78">
        <v>5.55</v>
      </c>
    </row>
    <row r="20" spans="1:6" s="19" customFormat="1" ht="16.399999999999999" customHeight="1" x14ac:dyDescent="0.3">
      <c r="B20" s="47" t="s">
        <v>19</v>
      </c>
      <c r="C20" s="146" t="s">
        <v>117</v>
      </c>
      <c r="D20" s="146"/>
      <c r="E20" s="146"/>
      <c r="F20" s="79">
        <v>40</v>
      </c>
    </row>
    <row r="21" spans="1:6" ht="16.399999999999999" customHeight="1" x14ac:dyDescent="0.45">
      <c r="A21" s="50"/>
      <c r="B21" s="47" t="s">
        <v>22</v>
      </c>
      <c r="C21" s="146" t="s">
        <v>118</v>
      </c>
      <c r="D21" s="146"/>
      <c r="E21" s="146"/>
      <c r="F21" s="77">
        <v>94.45</v>
      </c>
    </row>
    <row r="22" spans="1:6" x14ac:dyDescent="0.45">
      <c r="A22" s="50"/>
      <c r="B22" s="47" t="s">
        <v>25</v>
      </c>
      <c r="C22" s="148" t="s">
        <v>119</v>
      </c>
      <c r="D22" s="148"/>
      <c r="E22" s="148"/>
      <c r="F22" s="76">
        <v>30</v>
      </c>
    </row>
    <row r="23" spans="1:6" s="50" customFormat="1" x14ac:dyDescent="0.45"/>
    <row r="24" spans="1:6" s="19" customFormat="1" x14ac:dyDescent="0.45">
      <c r="B24" s="45" t="s">
        <v>69</v>
      </c>
      <c r="C24" s="57"/>
      <c r="D24" s="58"/>
      <c r="E24" s="16"/>
      <c r="F24" s="16"/>
    </row>
    <row r="25" spans="1:6" s="19" customFormat="1" x14ac:dyDescent="0.45">
      <c r="B25" s="45" t="s">
        <v>70</v>
      </c>
      <c r="C25" s="57"/>
      <c r="D25" s="58"/>
      <c r="E25" s="59"/>
      <c r="F25" s="59"/>
    </row>
    <row r="26" spans="1:6" s="19" customFormat="1" ht="16.399999999999999" customHeight="1" x14ac:dyDescent="0.3">
      <c r="B26" s="26" t="s">
        <v>71</v>
      </c>
      <c r="C26" s="3" t="s">
        <v>72</v>
      </c>
      <c r="D26" s="3"/>
      <c r="E26" s="3"/>
      <c r="F26" s="47" t="s">
        <v>114</v>
      </c>
    </row>
    <row r="27" spans="1:6" s="19" customFormat="1" ht="16.399999999999999" customHeight="1" x14ac:dyDescent="0.3">
      <c r="B27" s="26" t="s">
        <v>14</v>
      </c>
      <c r="C27" s="146" t="s">
        <v>120</v>
      </c>
      <c r="D27" s="146"/>
      <c r="E27" s="146"/>
      <c r="F27" s="79">
        <v>8</v>
      </c>
    </row>
    <row r="28" spans="1:6" ht="16.399999999999999" customHeight="1" x14ac:dyDescent="0.45">
      <c r="A28" s="19"/>
      <c r="B28" s="47" t="s">
        <v>16</v>
      </c>
      <c r="C28" s="5" t="s">
        <v>121</v>
      </c>
      <c r="D28" s="5"/>
      <c r="E28" s="5"/>
      <c r="F28" s="76">
        <v>20</v>
      </c>
    </row>
    <row r="29" spans="1:6" ht="16.399999999999999" customHeight="1" x14ac:dyDescent="0.45">
      <c r="A29" s="19"/>
      <c r="B29" s="47" t="s">
        <v>19</v>
      </c>
      <c r="C29" s="146" t="s">
        <v>122</v>
      </c>
      <c r="D29" s="146"/>
      <c r="E29" s="146"/>
      <c r="F29" s="77">
        <v>1.42</v>
      </c>
    </row>
    <row r="30" spans="1:6" ht="16.399999999999999" customHeight="1" x14ac:dyDescent="0.45">
      <c r="A30" s="19"/>
      <c r="B30" s="47" t="s">
        <v>22</v>
      </c>
      <c r="C30" s="5" t="s">
        <v>123</v>
      </c>
      <c r="D30" s="5"/>
      <c r="E30" s="5"/>
      <c r="F30" s="78">
        <v>45.22</v>
      </c>
    </row>
    <row r="31" spans="1:6" s="19" customFormat="1" ht="16.399999999999999" customHeight="1" x14ac:dyDescent="0.45">
      <c r="A31" s="16"/>
      <c r="B31" s="47" t="s">
        <v>25</v>
      </c>
      <c r="C31" s="146" t="s">
        <v>124</v>
      </c>
      <c r="D31" s="146"/>
      <c r="E31" s="146"/>
      <c r="F31" s="77">
        <f>(154800/34808000)*100</f>
        <v>0.44472535049413925</v>
      </c>
    </row>
    <row r="32" spans="1:6" ht="16.399999999999999" customHeight="1" x14ac:dyDescent="0.45">
      <c r="A32" s="19"/>
      <c r="B32" s="47" t="s">
        <v>50</v>
      </c>
      <c r="C32" s="5" t="s">
        <v>125</v>
      </c>
      <c r="D32" s="5"/>
      <c r="E32" s="5"/>
      <c r="F32" s="76">
        <v>15</v>
      </c>
    </row>
    <row r="33" spans="1:6" ht="16.399999999999999" customHeight="1" x14ac:dyDescent="0.45">
      <c r="A33" s="19"/>
      <c r="B33" s="47" t="s">
        <v>52</v>
      </c>
      <c r="C33" s="146" t="s">
        <v>126</v>
      </c>
      <c r="D33" s="146"/>
      <c r="E33" s="146"/>
      <c r="F33" s="79">
        <v>180</v>
      </c>
    </row>
    <row r="34" spans="1:6" ht="16.399999999999999" customHeight="1" x14ac:dyDescent="0.45">
      <c r="A34" s="19"/>
      <c r="B34" s="47" t="s">
        <v>127</v>
      </c>
      <c r="C34" s="5" t="s">
        <v>128</v>
      </c>
      <c r="D34" s="5"/>
      <c r="E34" s="5"/>
      <c r="F34" s="78">
        <v>54.78</v>
      </c>
    </row>
    <row r="35" spans="1:6" s="50" customFormat="1" x14ac:dyDescent="0.45"/>
    <row r="36" spans="1:6" x14ac:dyDescent="0.45">
      <c r="B36" s="45" t="s">
        <v>129</v>
      </c>
      <c r="C36" s="57"/>
      <c r="D36" s="58"/>
      <c r="E36" s="59"/>
      <c r="F36" s="59"/>
    </row>
    <row r="37" spans="1:6" x14ac:dyDescent="0.45">
      <c r="B37" s="26" t="s">
        <v>76</v>
      </c>
      <c r="C37" s="141" t="s">
        <v>130</v>
      </c>
      <c r="D37" s="141"/>
      <c r="E37" s="141"/>
      <c r="F37" s="47" t="s">
        <v>131</v>
      </c>
    </row>
    <row r="38" spans="1:6" ht="16.399999999999999" customHeight="1" x14ac:dyDescent="0.45">
      <c r="B38" s="26" t="s">
        <v>14</v>
      </c>
      <c r="C38" s="2" t="s">
        <v>79</v>
      </c>
      <c r="D38" s="2"/>
      <c r="E38" s="2"/>
      <c r="F38" s="72">
        <f>PERC_HORA_EXTRA</f>
        <v>0</v>
      </c>
    </row>
    <row r="39" spans="1:6" ht="16.399999999999999" customHeight="1" x14ac:dyDescent="0.45">
      <c r="B39" s="26" t="s">
        <v>16</v>
      </c>
      <c r="C39" s="5" t="s">
        <v>80</v>
      </c>
      <c r="D39" s="5"/>
      <c r="E39" s="5"/>
      <c r="F39" s="73">
        <f>TEMPO_INTERVALO_REFEICAO</f>
        <v>0</v>
      </c>
    </row>
    <row r="40" spans="1:6" s="50" customFormat="1" x14ac:dyDescent="0.45"/>
    <row r="41" spans="1:6" ht="21" x14ac:dyDescent="0.45">
      <c r="B41" s="69" t="s">
        <v>96</v>
      </c>
      <c r="C41" s="70"/>
      <c r="D41" s="70"/>
      <c r="E41" s="70"/>
      <c r="F41" s="71"/>
    </row>
    <row r="42" spans="1:6" ht="31.25" customHeight="1" x14ac:dyDescent="0.45">
      <c r="B42" s="147" t="s">
        <v>97</v>
      </c>
      <c r="C42" s="147"/>
      <c r="D42" s="147"/>
      <c r="E42" s="147"/>
      <c r="F42" s="147"/>
    </row>
  </sheetData>
  <mergeCells count="29"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  <mergeCell ref="C22:E22"/>
    <mergeCell ref="C26:E26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zoomScaleNormal="100" workbookViewId="0">
      <selection activeCell="F23" sqref="F23"/>
    </sheetView>
  </sheetViews>
  <sheetFormatPr defaultRowHeight="16.5" x14ac:dyDescent="0.45"/>
  <cols>
    <col min="1" max="1" width="2.7265625" style="16" customWidth="1"/>
    <col min="2" max="2" width="8.81640625" style="16" customWidth="1"/>
    <col min="3" max="3" width="52.54296875" style="16" customWidth="1"/>
    <col min="4" max="4" width="22" style="16" customWidth="1"/>
    <col min="5" max="5" width="13.54296875" style="16" customWidth="1"/>
    <col min="6" max="6" width="43.81640625" style="16" customWidth="1"/>
    <col min="7" max="7" width="51.7265625" style="16" customWidth="1"/>
    <col min="8" max="1025" width="9.08984375" style="16" customWidth="1"/>
  </cols>
  <sheetData>
    <row r="1" spans="2:7" s="19" customFormat="1" ht="25" x14ac:dyDescent="0.7">
      <c r="B1" s="44" t="s">
        <v>132</v>
      </c>
      <c r="C1" s="16"/>
      <c r="D1" s="16"/>
      <c r="E1" s="16"/>
      <c r="F1" s="16"/>
      <c r="G1" s="16"/>
    </row>
    <row r="2" spans="2:7" x14ac:dyDescent="0.45">
      <c r="B2" s="45" t="s">
        <v>54</v>
      </c>
      <c r="E2" s="51"/>
    </row>
    <row r="3" spans="2:7" x14ac:dyDescent="0.45">
      <c r="B3" s="45" t="s">
        <v>133</v>
      </c>
      <c r="C3" s="57"/>
      <c r="D3" s="58"/>
      <c r="E3" s="59"/>
    </row>
    <row r="4" spans="2:7" x14ac:dyDescent="0.45">
      <c r="B4" s="26" t="s">
        <v>134</v>
      </c>
      <c r="C4" s="141" t="s">
        <v>135</v>
      </c>
      <c r="D4" s="141"/>
      <c r="E4" s="47" t="s">
        <v>73</v>
      </c>
      <c r="F4" s="47" t="s">
        <v>136</v>
      </c>
    </row>
    <row r="5" spans="2:7" ht="16.5" customHeight="1" x14ac:dyDescent="0.45">
      <c r="B5" s="26" t="s">
        <v>14</v>
      </c>
      <c r="C5" s="146" t="s">
        <v>137</v>
      </c>
      <c r="D5" s="146"/>
      <c r="E5" s="80">
        <f>(1/MESES_NO_ANO)*100</f>
        <v>8.3333333333333321</v>
      </c>
      <c r="F5" s="80" t="s">
        <v>138</v>
      </c>
    </row>
    <row r="6" spans="2:7" ht="16.5" customHeight="1" x14ac:dyDescent="0.45">
      <c r="B6" s="47" t="s">
        <v>16</v>
      </c>
      <c r="C6" s="5" t="s">
        <v>139</v>
      </c>
      <c r="D6" s="5"/>
      <c r="E6" s="81">
        <f>(1/3)/MESES_NO_ANO*100</f>
        <v>2.7777777777777777</v>
      </c>
      <c r="F6" s="81" t="s">
        <v>140</v>
      </c>
    </row>
    <row r="7" spans="2:7" s="50" customFormat="1" ht="16.5" customHeight="1" x14ac:dyDescent="0.45">
      <c r="B7" s="149" t="s">
        <v>141</v>
      </c>
      <c r="C7" s="149"/>
      <c r="D7" s="149"/>
      <c r="E7" s="149"/>
      <c r="F7" s="149"/>
    </row>
    <row r="8" spans="2:7" s="50" customFormat="1" ht="34.5" customHeight="1" x14ac:dyDescent="0.45">
      <c r="B8" s="26" t="s">
        <v>142</v>
      </c>
      <c r="C8" s="150" t="s">
        <v>143</v>
      </c>
      <c r="D8" s="150"/>
      <c r="E8" s="47" t="s">
        <v>73</v>
      </c>
    </row>
    <row r="9" spans="2:7" ht="16.5" customHeight="1" x14ac:dyDescent="0.45">
      <c r="B9" s="26" t="s">
        <v>14</v>
      </c>
      <c r="C9" s="146" t="s">
        <v>144</v>
      </c>
      <c r="D9" s="146"/>
      <c r="E9" s="80">
        <v>20</v>
      </c>
    </row>
    <row r="10" spans="2:7" s="19" customFormat="1" ht="16.5" customHeight="1" x14ac:dyDescent="0.3">
      <c r="B10" s="47" t="s">
        <v>16</v>
      </c>
      <c r="C10" s="5" t="s">
        <v>145</v>
      </c>
      <c r="D10" s="5"/>
      <c r="E10" s="82">
        <v>2.5</v>
      </c>
    </row>
    <row r="11" spans="2:7" s="19" customFormat="1" ht="16.5" customHeight="1" x14ac:dyDescent="0.3">
      <c r="B11" s="47" t="s">
        <v>19</v>
      </c>
      <c r="C11" s="146" t="s">
        <v>146</v>
      </c>
      <c r="D11" s="146"/>
      <c r="E11" s="80">
        <v>3</v>
      </c>
    </row>
    <row r="12" spans="2:7" s="19" customFormat="1" ht="16.5" customHeight="1" x14ac:dyDescent="0.3">
      <c r="B12" s="47" t="s">
        <v>22</v>
      </c>
      <c r="C12" s="5" t="s">
        <v>147</v>
      </c>
      <c r="D12" s="5"/>
      <c r="E12" s="81">
        <v>1.5</v>
      </c>
    </row>
    <row r="13" spans="2:7" s="19" customFormat="1" ht="16.5" customHeight="1" x14ac:dyDescent="0.3">
      <c r="B13" s="47" t="s">
        <v>25</v>
      </c>
      <c r="C13" s="146" t="s">
        <v>148</v>
      </c>
      <c r="D13" s="146"/>
      <c r="E13" s="80">
        <v>1</v>
      </c>
    </row>
    <row r="14" spans="2:7" s="19" customFormat="1" ht="16.5" customHeight="1" x14ac:dyDescent="0.3">
      <c r="B14" s="47" t="s">
        <v>50</v>
      </c>
      <c r="C14" s="5" t="s">
        <v>149</v>
      </c>
      <c r="D14" s="5"/>
      <c r="E14" s="82">
        <v>0.6</v>
      </c>
    </row>
    <row r="15" spans="2:7" s="19" customFormat="1" ht="16.5" customHeight="1" x14ac:dyDescent="0.3">
      <c r="B15" s="47" t="s">
        <v>52</v>
      </c>
      <c r="C15" s="146" t="s">
        <v>150</v>
      </c>
      <c r="D15" s="146"/>
      <c r="E15" s="80">
        <v>0.2</v>
      </c>
    </row>
    <row r="16" spans="2:7" ht="16.5" customHeight="1" x14ac:dyDescent="0.45">
      <c r="B16" s="47" t="s">
        <v>127</v>
      </c>
      <c r="C16" s="5" t="s">
        <v>151</v>
      </c>
      <c r="D16" s="5"/>
      <c r="E16" s="82">
        <v>8</v>
      </c>
    </row>
    <row r="17" spans="2:6" x14ac:dyDescent="0.45">
      <c r="B17" s="141" t="s">
        <v>152</v>
      </c>
      <c r="C17" s="141"/>
      <c r="D17" s="141"/>
      <c r="E17" s="83">
        <f>SUM(E9:E16)</f>
        <v>36.799999999999997</v>
      </c>
    </row>
    <row r="18" spans="2:6" s="50" customFormat="1" x14ac:dyDescent="0.45">
      <c r="B18" s="45" t="s">
        <v>112</v>
      </c>
      <c r="C18" s="57"/>
      <c r="D18" s="58"/>
      <c r="E18" s="59"/>
    </row>
    <row r="19" spans="2:6" s="50" customFormat="1" ht="15" customHeight="1" x14ac:dyDescent="0.45">
      <c r="B19" s="26">
        <v>3</v>
      </c>
      <c r="C19" s="141" t="s">
        <v>113</v>
      </c>
      <c r="D19" s="141"/>
      <c r="E19" s="47" t="s">
        <v>73</v>
      </c>
      <c r="F19" s="47" t="s">
        <v>136</v>
      </c>
    </row>
    <row r="20" spans="2:6" s="50" customFormat="1" x14ac:dyDescent="0.45">
      <c r="B20" s="26" t="s">
        <v>14</v>
      </c>
      <c r="C20" s="151" t="s">
        <v>153</v>
      </c>
      <c r="D20" s="151"/>
      <c r="E20" s="80">
        <f>PERC_EMPREG_DEMIT_SEM_JUSTA_CAUSA_TOTAL_DESLIG%*PERC_EMPREG_AVISO_PREVIO_IND%*1/MESES_NO_ANO*100</f>
        <v>0.26011000000000001</v>
      </c>
      <c r="F20" s="80" t="s">
        <v>154</v>
      </c>
    </row>
    <row r="21" spans="2:6" s="50" customFormat="1" x14ac:dyDescent="0.45">
      <c r="B21" s="47" t="s">
        <v>16</v>
      </c>
      <c r="C21" s="152" t="s">
        <v>155</v>
      </c>
      <c r="D21" s="152"/>
      <c r="E21" s="82">
        <f>PERC_FGTS%*PERC_AVISO_PREVIO_IND</f>
        <v>2.0808800000000002E-2</v>
      </c>
      <c r="F21" s="81" t="s">
        <v>156</v>
      </c>
    </row>
    <row r="22" spans="2:6" s="19" customFormat="1" x14ac:dyDescent="0.3">
      <c r="B22" s="47" t="s">
        <v>19</v>
      </c>
      <c r="C22" s="151" t="s">
        <v>157</v>
      </c>
      <c r="D22" s="151"/>
      <c r="E22" s="80">
        <f>PERC_AVISO_PREVIO_IND%*(PERC_MULTA_FGTS%)*PERC_FGTS%*100</f>
        <v>8.3235200000000009E-3</v>
      </c>
      <c r="F22" s="80" t="s">
        <v>158</v>
      </c>
    </row>
    <row r="23" spans="2:6" s="50" customFormat="1" x14ac:dyDescent="0.45">
      <c r="B23" s="47" t="s">
        <v>22</v>
      </c>
      <c r="C23" s="152" t="s">
        <v>159</v>
      </c>
      <c r="D23" s="152"/>
      <c r="E23" s="82">
        <f>PERC_EMPREG_DEMIT_SEM_JUSTA_CAUSA_TOTAL_DESLIG%*PERC_EMPREG_AVISO_PREVIO_TRAB%*(DIAS_NA_SEMANA/DIAS_NO_MES)/MESES_NO_ANO*100</f>
        <v>1.0328632222222223</v>
      </c>
      <c r="F23" s="81" t="s">
        <v>160</v>
      </c>
    </row>
    <row r="24" spans="2:6" s="19" customFormat="1" x14ac:dyDescent="0.3">
      <c r="B24" s="47" t="s">
        <v>25</v>
      </c>
      <c r="C24" s="151" t="s">
        <v>161</v>
      </c>
      <c r="D24" s="151"/>
      <c r="E24" s="80">
        <f>PERC_GPS_FGTS*PERC_AVISO_PREVIO_TRAB%</f>
        <v>0.38009366577777776</v>
      </c>
      <c r="F24" s="80" t="s">
        <v>162</v>
      </c>
    </row>
    <row r="25" spans="2:6" s="19" customFormat="1" x14ac:dyDescent="0.3">
      <c r="B25" s="47" t="s">
        <v>50</v>
      </c>
      <c r="C25" s="152" t="s">
        <v>163</v>
      </c>
      <c r="D25" s="152"/>
      <c r="E25" s="82">
        <f>ROUNDUP(PERC_AVISO_PREVIO_TRAB%*(PERC_MULTA_FGTS%)*PERC_FGTS%*100,2)</f>
        <v>0.04</v>
      </c>
      <c r="F25" s="81" t="s">
        <v>164</v>
      </c>
    </row>
    <row r="26" spans="2:6" s="19" customFormat="1" ht="16" customHeight="1" x14ac:dyDescent="0.45">
      <c r="B26" s="45" t="s">
        <v>69</v>
      </c>
      <c r="C26" s="57"/>
      <c r="D26" s="58"/>
      <c r="E26" s="16"/>
    </row>
    <row r="27" spans="2:6" s="19" customFormat="1" ht="16" customHeight="1" x14ac:dyDescent="0.45">
      <c r="B27" s="45" t="s">
        <v>70</v>
      </c>
      <c r="C27" s="57"/>
      <c r="D27" s="58"/>
      <c r="E27" s="59"/>
    </row>
    <row r="28" spans="2:6" s="19" customFormat="1" ht="16.5" customHeight="1" x14ac:dyDescent="0.3">
      <c r="B28" s="26" t="s">
        <v>71</v>
      </c>
      <c r="C28" s="3" t="s">
        <v>72</v>
      </c>
      <c r="D28" s="3"/>
      <c r="E28" s="47" t="s">
        <v>73</v>
      </c>
      <c r="F28" s="47" t="s">
        <v>136</v>
      </c>
    </row>
    <row r="29" spans="2:6" s="19" customFormat="1" ht="16" customHeight="1" x14ac:dyDescent="0.3">
      <c r="B29" s="47" t="s">
        <v>14</v>
      </c>
      <c r="C29" s="146" t="s">
        <v>165</v>
      </c>
      <c r="D29" s="146"/>
      <c r="E29" s="80">
        <f>(1/MESES_NO_ANO)*100</f>
        <v>8.3333333333333321</v>
      </c>
      <c r="F29" s="80" t="s">
        <v>166</v>
      </c>
    </row>
    <row r="30" spans="2:6" s="19" customFormat="1" ht="16" customHeight="1" x14ac:dyDescent="0.3">
      <c r="B30" s="47" t="s">
        <v>16</v>
      </c>
      <c r="C30" s="29" t="s">
        <v>167</v>
      </c>
      <c r="D30" s="29"/>
      <c r="E30" s="82">
        <f>(DIAS_AUSENCIAS_LEGAIS/DIAS_NO_MES)/MESES_NO_ANO*100</f>
        <v>2.2222222222222223</v>
      </c>
      <c r="F30" s="81" t="s">
        <v>168</v>
      </c>
    </row>
    <row r="31" spans="2:6" s="19" customFormat="1" ht="16" customHeight="1" x14ac:dyDescent="0.3">
      <c r="B31" s="47" t="s">
        <v>19</v>
      </c>
      <c r="C31" s="146" t="s">
        <v>169</v>
      </c>
      <c r="D31" s="146"/>
      <c r="E31" s="80">
        <f>(((DIAS_LICENCA_PATERNIDADE/DIAS_NO_MES)/MESES_NO_ANO)*PERC_NASCIDOS_VIVOS_POPUL_FEM%*PERC_PARTIC_MASC_VIGIL%)*100</f>
        <v>3.5673555555555549E-2</v>
      </c>
      <c r="F31" s="80" t="s">
        <v>170</v>
      </c>
    </row>
    <row r="32" spans="2:6" s="19" customFormat="1" ht="16.5" customHeight="1" x14ac:dyDescent="0.3">
      <c r="B32" s="47" t="s">
        <v>22</v>
      </c>
      <c r="C32" s="5" t="s">
        <v>171</v>
      </c>
      <c r="D32" s="5"/>
      <c r="E32" s="82">
        <f>(DIAS_PAGOS_EMPRESA_ACID_TRAB/DIAS_NO_MES)/MESES_NO_ANO*PERC_EMPREG_AFAST_TRAB%*100</f>
        <v>1.85302229372558E-2</v>
      </c>
      <c r="F32" s="81" t="s">
        <v>172</v>
      </c>
    </row>
    <row r="33" spans="2:7" s="19" customFormat="1" ht="33" customHeight="1" x14ac:dyDescent="0.3">
      <c r="B33" s="47" t="s">
        <v>25</v>
      </c>
      <c r="C33" s="146" t="s">
        <v>173</v>
      </c>
      <c r="D33" s="146"/>
      <c r="E33" s="80">
        <f>(((DIAS_LICENCA_MATERNIDADE/DIAS_NO_MES)/MESES_NO_ANO)*PERC_NASCIDOS_VIVOS_POPUL_FEM%*PERC_PARTIC_FEM_VIGIL%*PERC_GPS_FGTS%*100)</f>
        <v>0.14312918399999999</v>
      </c>
      <c r="F33" s="80" t="s">
        <v>174</v>
      </c>
    </row>
    <row r="34" spans="2:7" s="19" customFormat="1" x14ac:dyDescent="0.3">
      <c r="B34" s="47" t="s">
        <v>50</v>
      </c>
      <c r="C34" s="5" t="str">
        <f>OUTRAS_AUSENCIAS_DESCRICAO</f>
        <v>Outras Ausências (Especificar - em %)</v>
      </c>
      <c r="D34" s="5"/>
      <c r="E34" s="82">
        <f>PERC_SUBSTITUTO_OUTRAS_AUSENCIAS</f>
        <v>0</v>
      </c>
      <c r="F34" s="81"/>
    </row>
    <row r="36" spans="2:7" ht="21" x14ac:dyDescent="0.45">
      <c r="B36" s="69" t="s">
        <v>96</v>
      </c>
    </row>
    <row r="37" spans="2:7" ht="42.75" customHeight="1" x14ac:dyDescent="0.45">
      <c r="B37" s="147" t="s">
        <v>97</v>
      </c>
      <c r="C37" s="147"/>
      <c r="D37" s="147"/>
      <c r="E37" s="147"/>
      <c r="G37" s="84"/>
    </row>
  </sheetData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abSelected="1" topLeftCell="A100" zoomScaleNormal="100" workbookViewId="0">
      <selection activeCell="F88" sqref="F88"/>
    </sheetView>
  </sheetViews>
  <sheetFormatPr defaultRowHeight="16.5" x14ac:dyDescent="0.45"/>
  <cols>
    <col min="1" max="1" width="2.7265625" style="16" customWidth="1"/>
    <col min="2" max="2" width="8.81640625" style="16" customWidth="1"/>
    <col min="3" max="3" width="52.54296875" style="16" customWidth="1"/>
    <col min="4" max="4" width="7.90625" style="16" customWidth="1"/>
    <col min="5" max="5" width="13.54296875" style="16" customWidth="1"/>
    <col min="6" max="6" width="15.453125" style="16" customWidth="1"/>
    <col min="7" max="1025" width="9.08984375" style="16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85" t="s">
        <v>2</v>
      </c>
      <c r="F2" s="86" t="str">
        <f>DATA_DO_ORCAMENTO_ESTIMATIVO</f>
        <v>XX/XX/2025</v>
      </c>
    </row>
    <row r="3" spans="2:6" s="19" customFormat="1" ht="25" x14ac:dyDescent="0.7">
      <c r="B3" s="13" t="s">
        <v>175</v>
      </c>
      <c r="C3" s="13"/>
      <c r="D3" s="13"/>
      <c r="E3" s="13"/>
      <c r="F3" s="13"/>
    </row>
    <row r="4" spans="2:6" s="19" customFormat="1" ht="16" customHeight="1" x14ac:dyDescent="0.45">
      <c r="B4" s="12" t="s">
        <v>5</v>
      </c>
      <c r="C4" s="12"/>
      <c r="D4" s="12"/>
      <c r="E4" s="12"/>
      <c r="F4" s="12"/>
    </row>
    <row r="5" spans="2:6" s="19" customFormat="1" ht="16" customHeight="1" x14ac:dyDescent="0.45">
      <c r="B5" s="11" t="s">
        <v>6</v>
      </c>
      <c r="C5" s="11"/>
      <c r="D5" s="155" t="str">
        <f>NUMERO_PROCESSO</f>
        <v>1.22.000.000104/2024-23</v>
      </c>
      <c r="E5" s="155"/>
      <c r="F5" s="155"/>
    </row>
    <row r="6" spans="2:6" s="19" customFormat="1" ht="15.75" customHeight="1" x14ac:dyDescent="0.45">
      <c r="B6" s="9" t="s">
        <v>176</v>
      </c>
      <c r="C6" s="9"/>
      <c r="D6" s="156" t="str">
        <f>MODALIDADE_DE_LICITACAO</f>
        <v>Pregão nº</v>
      </c>
      <c r="E6" s="156"/>
      <c r="F6" s="87" t="str">
        <f>NUMERO_PREGAO</f>
        <v>XX/2025</v>
      </c>
    </row>
    <row r="7" spans="2:6" s="19" customFormat="1" ht="15.75" customHeight="1" x14ac:dyDescent="0.45">
      <c r="B7" s="157" t="s">
        <v>177</v>
      </c>
      <c r="C7" s="157"/>
      <c r="D7" s="157"/>
      <c r="E7" s="157"/>
      <c r="F7" s="157"/>
    </row>
    <row r="8" spans="2:6" s="19" customFormat="1" ht="18" customHeight="1" x14ac:dyDescent="0.45">
      <c r="B8" s="24" t="s">
        <v>14</v>
      </c>
      <c r="C8" s="11" t="s">
        <v>15</v>
      </c>
      <c r="D8" s="11"/>
      <c r="E8" s="11"/>
      <c r="F8" s="88" t="str">
        <f>DATA_APRESENTACAO_PROPOSTA</f>
        <v>XX/XX/2025</v>
      </c>
    </row>
    <row r="9" spans="2:6" s="19" customFormat="1" ht="16" customHeight="1" x14ac:dyDescent="0.3">
      <c r="B9" s="26" t="s">
        <v>16</v>
      </c>
      <c r="C9" s="27" t="s">
        <v>17</v>
      </c>
      <c r="D9" s="158" t="str">
        <f>IF(LOCAL_DE_EXECUCAO="","",LOCAL_DE_EXECUCAO)</f>
        <v>PRAP</v>
      </c>
      <c r="E9" s="158"/>
      <c r="F9" s="158"/>
    </row>
    <row r="10" spans="2:6" s="19" customFormat="1" ht="18.75" customHeight="1" x14ac:dyDescent="0.45">
      <c r="B10" s="24" t="s">
        <v>19</v>
      </c>
      <c r="C10" s="11" t="s">
        <v>178</v>
      </c>
      <c r="D10" s="11"/>
      <c r="E10" s="11"/>
      <c r="F10" s="90" t="str">
        <f>ACORDO_COLETIVO</f>
        <v>AP000003/2025</v>
      </c>
    </row>
    <row r="11" spans="2:6" s="19" customFormat="1" ht="16" customHeight="1" x14ac:dyDescent="0.45">
      <c r="B11" s="26" t="s">
        <v>22</v>
      </c>
      <c r="C11" s="148" t="s">
        <v>26</v>
      </c>
      <c r="D11" s="148"/>
      <c r="E11" s="148"/>
      <c r="F11" s="54">
        <f>NUMERO_MESES_EXEC_CONTRATUAL</f>
        <v>12</v>
      </c>
    </row>
    <row r="12" spans="2:6" s="19" customFormat="1" x14ac:dyDescent="0.45">
      <c r="B12" s="26" t="s">
        <v>25</v>
      </c>
      <c r="C12" s="159" t="s">
        <v>179</v>
      </c>
      <c r="D12" s="159"/>
      <c r="E12" s="159"/>
      <c r="F12" s="30">
        <f>IF(QTDE_POSTOS="","",QTDE_POSTOS)</f>
        <v>1</v>
      </c>
    </row>
    <row r="13" spans="2:6" s="91" customFormat="1" ht="15" customHeight="1" x14ac:dyDescent="0.25">
      <c r="B13" s="92" t="s">
        <v>41</v>
      </c>
      <c r="C13" s="93"/>
      <c r="D13" s="93"/>
      <c r="E13" s="93"/>
      <c r="F13" s="93"/>
    </row>
    <row r="14" spans="2:6" s="19" customFormat="1" x14ac:dyDescent="0.45">
      <c r="B14" s="24">
        <v>1</v>
      </c>
      <c r="C14" s="11" t="s">
        <v>180</v>
      </c>
      <c r="D14" s="11"/>
      <c r="E14" s="155" t="str">
        <f>IF(TIPO_DE_SERVICO="","",TIPO_DE_SERVICO)</f>
        <v>Técnico de Refrigeração</v>
      </c>
      <c r="F14" s="155"/>
    </row>
    <row r="15" spans="2:6" s="19" customFormat="1" x14ac:dyDescent="0.45">
      <c r="B15" s="24">
        <v>2</v>
      </c>
      <c r="C15" s="39" t="s">
        <v>36</v>
      </c>
      <c r="D15" s="160" t="str">
        <f>IF(CBO="","",CBO)</f>
        <v>9112-05</v>
      </c>
      <c r="E15" s="160"/>
      <c r="F15" s="160"/>
    </row>
    <row r="16" spans="2:6" s="19" customFormat="1" ht="15" customHeight="1" x14ac:dyDescent="0.45">
      <c r="B16" s="24">
        <v>3</v>
      </c>
      <c r="C16" s="38" t="s">
        <v>38</v>
      </c>
      <c r="D16" s="155" t="str">
        <f>IF(CATEGORIA_PROFISSIONAL="","",CATEGORIA_PROFISSIONAL)</f>
        <v>Técnico de Refrigeração</v>
      </c>
      <c r="E16" s="155"/>
      <c r="F16" s="155"/>
    </row>
    <row r="17" spans="2:6" s="19" customFormat="1" ht="15" customHeight="1" x14ac:dyDescent="0.45">
      <c r="B17" s="24">
        <v>4</v>
      </c>
      <c r="C17" s="9" t="s">
        <v>39</v>
      </c>
      <c r="D17" s="9"/>
      <c r="E17" s="9"/>
      <c r="F17" s="94">
        <f>DATA_BASE_CATEGORIA</f>
        <v>45658</v>
      </c>
    </row>
    <row r="18" spans="2:6" s="95" customFormat="1" ht="20.25" customHeight="1" x14ac:dyDescent="0.45">
      <c r="B18" s="161" t="s">
        <v>181</v>
      </c>
      <c r="C18" s="161"/>
      <c r="D18" s="161"/>
      <c r="E18" s="161"/>
      <c r="F18" s="161"/>
    </row>
    <row r="19" spans="2:6" x14ac:dyDescent="0.45">
      <c r="B19" s="141" t="s">
        <v>182</v>
      </c>
      <c r="C19" s="141"/>
      <c r="D19" s="141"/>
      <c r="E19" s="141"/>
      <c r="F19" s="96">
        <f>IF(EMPREG_POR_POSTO="","",EMPREG_POR_POSTO)</f>
        <v>1</v>
      </c>
    </row>
    <row r="20" spans="2:6" x14ac:dyDescent="0.45">
      <c r="B20" s="45" t="s">
        <v>42</v>
      </c>
      <c r="E20" s="46"/>
      <c r="F20" s="46"/>
    </row>
    <row r="21" spans="2:6" ht="16.5" customHeight="1" x14ac:dyDescent="0.45">
      <c r="B21" s="26">
        <v>1</v>
      </c>
      <c r="C21" s="3" t="s">
        <v>43</v>
      </c>
      <c r="D21" s="3"/>
      <c r="E21" s="3"/>
      <c r="F21" s="47" t="s">
        <v>83</v>
      </c>
    </row>
    <row r="22" spans="2:6" ht="16.5" customHeight="1" x14ac:dyDescent="0.45">
      <c r="B22" s="26" t="s">
        <v>14</v>
      </c>
      <c r="C22" s="2" t="s">
        <v>183</v>
      </c>
      <c r="D22" s="2"/>
      <c r="E22" s="2"/>
      <c r="F22" s="97">
        <f>SALARIO_BASE</f>
        <v>1984.58</v>
      </c>
    </row>
    <row r="23" spans="2:6" ht="16.5" customHeight="1" x14ac:dyDescent="0.45">
      <c r="B23" s="26" t="s">
        <v>16</v>
      </c>
      <c r="C23" s="5" t="s">
        <v>184</v>
      </c>
      <c r="D23" s="5"/>
      <c r="E23" s="5"/>
      <c r="F23" s="98">
        <f>PERC_ADIC_PERIC%*SALARIO_BASE</f>
        <v>0</v>
      </c>
    </row>
    <row r="24" spans="2:6" ht="15.75" customHeight="1" x14ac:dyDescent="0.45">
      <c r="B24" s="26" t="s">
        <v>19</v>
      </c>
      <c r="C24" s="162" t="s">
        <v>185</v>
      </c>
      <c r="D24" s="162"/>
      <c r="E24" s="162"/>
      <c r="F24" s="97">
        <f>((AL_1_A_SAL_BASE+AL_1_B_ADIC_PERIC)/DIVISOR_DE_HORAS)*DIAS_NA_SEMANA*MEDIA_ANUAL_DIAS_TRABALHO_MES*PERC_ADIC_NOT%</f>
        <v>0</v>
      </c>
    </row>
    <row r="25" spans="2:6" ht="15.75" customHeight="1" x14ac:dyDescent="0.45">
      <c r="B25" s="26" t="s">
        <v>22</v>
      </c>
      <c r="C25" s="5" t="s">
        <v>186</v>
      </c>
      <c r="D25" s="5"/>
      <c r="E25" s="5"/>
      <c r="F25" s="98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26" t="s">
        <v>25</v>
      </c>
      <c r="C26" s="146" t="s">
        <v>187</v>
      </c>
      <c r="D26" s="146"/>
      <c r="E26" s="146"/>
      <c r="F26" s="97">
        <f>PERC_ADIC_INS%*SAL_MINIMO</f>
        <v>0</v>
      </c>
    </row>
    <row r="27" spans="2:6" x14ac:dyDescent="0.45">
      <c r="B27" s="26" t="s">
        <v>50</v>
      </c>
      <c r="C27" s="1" t="str">
        <f>OUTROS_REMUNERACAO_1_DESCRICAO</f>
        <v>Outras Remunerações 1 (Especificar)</v>
      </c>
      <c r="D27" s="1"/>
      <c r="E27" s="1"/>
      <c r="F27" s="98">
        <f>OUTROS_REMUNERACAO_1</f>
        <v>0</v>
      </c>
    </row>
    <row r="28" spans="2:6" x14ac:dyDescent="0.45">
      <c r="B28" s="26" t="s">
        <v>52</v>
      </c>
      <c r="C28" s="2" t="str">
        <f>OUTROS_REMUNERACAO_2_DESCRICAO</f>
        <v>Outras Remunerações 2 (Especificar)</v>
      </c>
      <c r="D28" s="2"/>
      <c r="E28" s="2"/>
      <c r="F28" s="97">
        <f>OUTROS_REMUNERACAO_2</f>
        <v>0</v>
      </c>
    </row>
    <row r="29" spans="2:6" x14ac:dyDescent="0.45">
      <c r="B29" s="26" t="s">
        <v>127</v>
      </c>
      <c r="C29" s="1" t="str">
        <f>OUTROS_REMUNERACAO_3_DESCRICAO</f>
        <v>Outras Remunerações 3 (Especificar)</v>
      </c>
      <c r="D29" s="1"/>
      <c r="E29" s="1"/>
      <c r="F29" s="98">
        <f>OUTROS_REMUNERACAO_3</f>
        <v>0</v>
      </c>
    </row>
    <row r="30" spans="2:6" ht="16.5" customHeight="1" x14ac:dyDescent="0.45">
      <c r="B30" s="3" t="s">
        <v>152</v>
      </c>
      <c r="C30" s="3"/>
      <c r="D30" s="3"/>
      <c r="E30" s="3"/>
      <c r="F30" s="99">
        <f>SUM(F22:F29)</f>
        <v>1984.58</v>
      </c>
    </row>
    <row r="31" spans="2:6" x14ac:dyDescent="0.45">
      <c r="B31" s="45" t="s">
        <v>54</v>
      </c>
      <c r="E31" s="51"/>
      <c r="F31" s="51"/>
    </row>
    <row r="32" spans="2:6" x14ac:dyDescent="0.45">
      <c r="B32" s="45" t="s">
        <v>133</v>
      </c>
      <c r="C32" s="57"/>
      <c r="D32" s="58"/>
      <c r="E32" s="59"/>
      <c r="F32" s="59"/>
    </row>
    <row r="33" spans="2:6" x14ac:dyDescent="0.45">
      <c r="B33" s="26" t="s">
        <v>134</v>
      </c>
      <c r="C33" s="141" t="s">
        <v>135</v>
      </c>
      <c r="D33" s="141"/>
      <c r="E33" s="47" t="s">
        <v>73</v>
      </c>
      <c r="F33" s="47" t="s">
        <v>83</v>
      </c>
    </row>
    <row r="34" spans="2:6" ht="16.5" customHeight="1" x14ac:dyDescent="0.45">
      <c r="B34" s="26" t="s">
        <v>14</v>
      </c>
      <c r="C34" s="146" t="s">
        <v>137</v>
      </c>
      <c r="D34" s="146"/>
      <c r="E34" s="80">
        <f>PERC_DEC_TERC</f>
        <v>8.3333333333333321</v>
      </c>
      <c r="F34" s="77">
        <f>PERC_DEC_TERC%*MOD_1_REMUNERACAO</f>
        <v>165.38166666666663</v>
      </c>
    </row>
    <row r="35" spans="2:6" ht="16.5" customHeight="1" x14ac:dyDescent="0.45">
      <c r="B35" s="47" t="s">
        <v>16</v>
      </c>
      <c r="C35" s="5" t="s">
        <v>139</v>
      </c>
      <c r="D35" s="5"/>
      <c r="E35" s="81">
        <f>PERC_ADIC_FERIAS</f>
        <v>2.7777777777777777</v>
      </c>
      <c r="F35" s="78">
        <f>PERC_ADIC_FERIAS%*MOD_1_REMUNERACAO</f>
        <v>55.127222222222215</v>
      </c>
    </row>
    <row r="36" spans="2:6" s="50" customFormat="1" x14ac:dyDescent="0.45">
      <c r="B36" s="141" t="s">
        <v>152</v>
      </c>
      <c r="C36" s="141"/>
      <c r="D36" s="141"/>
      <c r="E36" s="141"/>
      <c r="F36" s="100">
        <f>SUM(F34:F35)</f>
        <v>220.50888888888886</v>
      </c>
    </row>
    <row r="37" spans="2:6" s="50" customFormat="1" ht="31.5" customHeight="1" x14ac:dyDescent="0.45">
      <c r="B37" s="163" t="s">
        <v>141</v>
      </c>
      <c r="C37" s="163"/>
      <c r="D37" s="163"/>
      <c r="E37" s="163"/>
      <c r="F37" s="163"/>
    </row>
    <row r="38" spans="2:6" s="50" customFormat="1" ht="34.5" customHeight="1" x14ac:dyDescent="0.45">
      <c r="B38" s="26" t="s">
        <v>142</v>
      </c>
      <c r="C38" s="150" t="s">
        <v>143</v>
      </c>
      <c r="D38" s="150"/>
      <c r="E38" s="47" t="s">
        <v>73</v>
      </c>
      <c r="F38" s="47" t="s">
        <v>83</v>
      </c>
    </row>
    <row r="39" spans="2:6" ht="16.5" customHeight="1" x14ac:dyDescent="0.45">
      <c r="B39" s="26" t="s">
        <v>14</v>
      </c>
      <c r="C39" s="146" t="s">
        <v>144</v>
      </c>
      <c r="D39" s="146"/>
      <c r="E39" s="80">
        <f>PERC_INSS</f>
        <v>20</v>
      </c>
      <c r="F39" s="77">
        <f>PERC_INSS%*(MOD_1_REMUNERACAO+SUBMOD_2_1_DEC_TERC_ADIC_FERIAS)</f>
        <v>441.01777777777784</v>
      </c>
    </row>
    <row r="40" spans="2:6" s="19" customFormat="1" ht="16.5" customHeight="1" x14ac:dyDescent="0.3">
      <c r="B40" s="47" t="s">
        <v>16</v>
      </c>
      <c r="C40" s="5" t="s">
        <v>145</v>
      </c>
      <c r="D40" s="5"/>
      <c r="E40" s="82">
        <f>PERC_SAL_EDUCACAO</f>
        <v>2.5</v>
      </c>
      <c r="F40" s="78">
        <f>PERC_SAL_EDUCACAO%*(MOD_1_REMUNERACAO+SUBMOD_2_1_DEC_TERC_ADIC_FERIAS)</f>
        <v>55.12722222222223</v>
      </c>
    </row>
    <row r="41" spans="2:6" s="19" customFormat="1" ht="16.5" customHeight="1" x14ac:dyDescent="0.3">
      <c r="B41" s="47" t="s">
        <v>19</v>
      </c>
      <c r="C41" s="146" t="s">
        <v>146</v>
      </c>
      <c r="D41" s="146"/>
      <c r="E41" s="80">
        <f>PERC_RAT</f>
        <v>3</v>
      </c>
      <c r="F41" s="77">
        <f>PERC_RAT%*(MOD_1_REMUNERACAO+SUBMOD_2_1_DEC_TERC_ADIC_FERIAS)</f>
        <v>66.152666666666661</v>
      </c>
    </row>
    <row r="42" spans="2:6" s="19" customFormat="1" ht="16.5" customHeight="1" x14ac:dyDescent="0.3">
      <c r="B42" s="47" t="s">
        <v>22</v>
      </c>
      <c r="C42" s="5" t="s">
        <v>147</v>
      </c>
      <c r="D42" s="5"/>
      <c r="E42" s="81">
        <f>PERC_SESC</f>
        <v>1.5</v>
      </c>
      <c r="F42" s="78">
        <f>PERC_SESC%*(MOD_1_REMUNERACAO+SUBMOD_2_1_DEC_TERC_ADIC_FERIAS)</f>
        <v>33.076333333333331</v>
      </c>
    </row>
    <row r="43" spans="2:6" s="19" customFormat="1" ht="16.5" customHeight="1" x14ac:dyDescent="0.3">
      <c r="B43" s="47" t="s">
        <v>25</v>
      </c>
      <c r="C43" s="146" t="s">
        <v>148</v>
      </c>
      <c r="D43" s="146"/>
      <c r="E43" s="80">
        <f>PERC_SENAC</f>
        <v>1</v>
      </c>
      <c r="F43" s="77">
        <f>PERC_SENAC%*(MOD_1_REMUNERACAO+SUBMOD_2_1_DEC_TERC_ADIC_FERIAS)</f>
        <v>22.050888888888888</v>
      </c>
    </row>
    <row r="44" spans="2:6" s="19" customFormat="1" ht="16.5" customHeight="1" x14ac:dyDescent="0.3">
      <c r="B44" s="47" t="s">
        <v>50</v>
      </c>
      <c r="C44" s="5" t="s">
        <v>149</v>
      </c>
      <c r="D44" s="5"/>
      <c r="E44" s="82">
        <f>PERC_SEBRAE</f>
        <v>0.6</v>
      </c>
      <c r="F44" s="78">
        <f>PERC_SEBRAE%*(MOD_1_REMUNERACAO+SUBMOD_2_1_DEC_TERC_ADIC_FERIAS)</f>
        <v>13.230533333333334</v>
      </c>
    </row>
    <row r="45" spans="2:6" s="19" customFormat="1" ht="16.5" customHeight="1" x14ac:dyDescent="0.3">
      <c r="B45" s="47" t="s">
        <v>52</v>
      </c>
      <c r="C45" s="146" t="s">
        <v>150</v>
      </c>
      <c r="D45" s="146"/>
      <c r="E45" s="80">
        <f>PERC_INCRA</f>
        <v>0.2</v>
      </c>
      <c r="F45" s="77">
        <f>PERC_INCRA%*(MOD_1_REMUNERACAO+SUBMOD_2_1_DEC_TERC_ADIC_FERIAS)</f>
        <v>4.4101777777777782</v>
      </c>
    </row>
    <row r="46" spans="2:6" ht="16.5" customHeight="1" x14ac:dyDescent="0.45">
      <c r="B46" s="47" t="s">
        <v>127</v>
      </c>
      <c r="C46" s="5" t="s">
        <v>151</v>
      </c>
      <c r="D46" s="5"/>
      <c r="E46" s="82">
        <f>PERC_FGTS</f>
        <v>8</v>
      </c>
      <c r="F46" s="78">
        <f>PERC_FGTS%*(MOD_1_REMUNERACAO+SUBMOD_2_1_DEC_TERC_ADIC_FERIAS)</f>
        <v>176.40711111111111</v>
      </c>
    </row>
    <row r="47" spans="2:6" x14ac:dyDescent="0.45">
      <c r="B47" s="141" t="s">
        <v>152</v>
      </c>
      <c r="C47" s="141"/>
      <c r="D47" s="141"/>
      <c r="E47" s="141"/>
      <c r="F47" s="101">
        <f>SUM(F39:F46)</f>
        <v>811.47271111111115</v>
      </c>
    </row>
    <row r="48" spans="2:6" ht="15.75" customHeight="1" x14ac:dyDescent="0.45">
      <c r="B48" s="45" t="s">
        <v>55</v>
      </c>
      <c r="C48" s="19"/>
      <c r="D48" s="19"/>
      <c r="E48" s="19"/>
      <c r="F48" s="19"/>
    </row>
    <row r="49" spans="2:6" ht="15.75" customHeight="1" x14ac:dyDescent="0.45">
      <c r="B49" s="26" t="s">
        <v>56</v>
      </c>
      <c r="C49" s="3" t="s">
        <v>57</v>
      </c>
      <c r="D49" s="3"/>
      <c r="E49" s="3"/>
      <c r="F49" s="47" t="s">
        <v>83</v>
      </c>
    </row>
    <row r="50" spans="2:6" ht="16.399999999999999" customHeight="1" x14ac:dyDescent="0.45">
      <c r="B50" s="24" t="s">
        <v>14</v>
      </c>
      <c r="C50" s="146" t="s">
        <v>60</v>
      </c>
      <c r="D50" s="146"/>
      <c r="E50" s="146"/>
      <c r="F50" s="77">
        <f>IF(((TRANSPORTE_POR_DIA*DIAS_TRABALHADOS_NO_MES)-(PERC_DESC_TRANSP_REMUNERACAO%*(AL_1_A_SAL_BASE)))&gt;0,((TRANSPORTE_POR_DIA*DIAS_TRABALHADOS_NO_MES)-(PERC_DESC_TRANSP_REMUNERACAO%*(AL_1_A_SAL_BASE))),0)</f>
        <v>43.725200000000015</v>
      </c>
    </row>
    <row r="51" spans="2:6" s="50" customFormat="1" ht="16.399999999999999" customHeight="1" x14ac:dyDescent="0.45">
      <c r="B51" s="24" t="s">
        <v>16</v>
      </c>
      <c r="C51" s="5" t="s">
        <v>62</v>
      </c>
      <c r="D51" s="5"/>
      <c r="E51" s="5"/>
      <c r="F51" s="78">
        <f>ALIMENTACAO_POR_DIA*DIAS_TRABALHADOS_NO_MES</f>
        <v>594</v>
      </c>
    </row>
    <row r="52" spans="2:6" s="50" customFormat="1" x14ac:dyDescent="0.45">
      <c r="B52" s="24" t="s">
        <v>19</v>
      </c>
      <c r="C52" s="2" t="str">
        <f>OUTROS_BENEFICIOS_1_DESCRICAO</f>
        <v>Benefício Social (CCT, Cláusula 15ª)</v>
      </c>
      <c r="D52" s="2"/>
      <c r="E52" s="2"/>
      <c r="F52" s="77">
        <v>20.79</v>
      </c>
    </row>
    <row r="53" spans="2:6" s="50" customFormat="1" x14ac:dyDescent="0.45">
      <c r="B53" s="24" t="s">
        <v>22</v>
      </c>
      <c r="C53" s="1" t="str">
        <f>OUTROS_BENEFICIOS_2_DESCRICAO</f>
        <v>Outros Benefícios 2</v>
      </c>
      <c r="D53" s="1"/>
      <c r="E53" s="1"/>
      <c r="F53" s="78">
        <f>OUTROS_BENEFICIOS_2/MESES_NO_ANO</f>
        <v>0</v>
      </c>
    </row>
    <row r="54" spans="2:6" s="50" customFormat="1" x14ac:dyDescent="0.45">
      <c r="B54" s="24" t="s">
        <v>25</v>
      </c>
      <c r="C54" s="2" t="str">
        <f>OUTROS_BENEFICIOS_3_DESCRICAO</f>
        <v>Outros Benefícios 3</v>
      </c>
      <c r="D54" s="2"/>
      <c r="E54" s="2"/>
      <c r="F54" s="77">
        <f>OUTROS_BENEFICIOS_3</f>
        <v>0</v>
      </c>
    </row>
    <row r="55" spans="2:6" s="50" customFormat="1" ht="16.399999999999999" customHeight="1" x14ac:dyDescent="0.45">
      <c r="B55" s="24" t="s">
        <v>50</v>
      </c>
      <c r="C55" s="1" t="s">
        <v>188</v>
      </c>
      <c r="D55" s="1"/>
      <c r="E55" s="1"/>
      <c r="F55" s="78">
        <f>'INSERÇÃO-DE-DADOS'!F47/MESES_NO_ANO</f>
        <v>0</v>
      </c>
    </row>
    <row r="56" spans="2:6" s="50" customFormat="1" ht="15" customHeight="1" x14ac:dyDescent="0.45">
      <c r="B56" s="3" t="s">
        <v>152</v>
      </c>
      <c r="C56" s="3"/>
      <c r="D56" s="3"/>
      <c r="E56" s="3"/>
      <c r="F56" s="99">
        <f>SUM(F50:F55)</f>
        <v>658.51519999999994</v>
      </c>
    </row>
    <row r="57" spans="2:6" s="50" customFormat="1" x14ac:dyDescent="0.45">
      <c r="B57" s="45" t="s">
        <v>112</v>
      </c>
      <c r="C57" s="57"/>
      <c r="D57" s="58"/>
      <c r="E57" s="59"/>
      <c r="F57" s="59"/>
    </row>
    <row r="58" spans="2:6" s="50" customFormat="1" ht="15" customHeight="1" x14ac:dyDescent="0.45">
      <c r="B58" s="26">
        <v>3</v>
      </c>
      <c r="C58" s="141" t="s">
        <v>113</v>
      </c>
      <c r="D58" s="141"/>
      <c r="E58" s="47" t="s">
        <v>73</v>
      </c>
      <c r="F58" s="47" t="s">
        <v>83</v>
      </c>
    </row>
    <row r="59" spans="2:6" s="50" customFormat="1" x14ac:dyDescent="0.45">
      <c r="B59" s="26" t="s">
        <v>14</v>
      </c>
      <c r="C59" s="151" t="s">
        <v>153</v>
      </c>
      <c r="D59" s="151"/>
      <c r="E59" s="80">
        <f>PERC_AVISO_PREVIO_IND</f>
        <v>0.26011000000000001</v>
      </c>
      <c r="F59" s="77">
        <f>PERC_AVISO_PREVIO_IND%*(MOD_1_REMUNERACAO+SUBMOD_2_1_DEC_TERC_ADIC_FERIAS+AL_2_2_FGTS+SUBMOD_2_3_BENEFICIOS)</f>
        <v>7.9073731323200009</v>
      </c>
    </row>
    <row r="60" spans="2:6" s="50" customFormat="1" x14ac:dyDescent="0.45">
      <c r="B60" s="47" t="s">
        <v>16</v>
      </c>
      <c r="C60" s="152" t="s">
        <v>155</v>
      </c>
      <c r="D60" s="152"/>
      <c r="E60" s="82">
        <f>PERC_FGTS_AVISO_PREV_IND</f>
        <v>2.0808800000000002E-2</v>
      </c>
      <c r="F60" s="78">
        <f>PERC_FGTS_AVISO_PREV_IND%*(MOD_1_REMUNERACAO+SUBMOD_2_1_DEC_TERC_ADIC_FERIAS)</f>
        <v>0.45885253671111115</v>
      </c>
    </row>
    <row r="61" spans="2:6" s="19" customFormat="1" ht="34.5" customHeight="1" x14ac:dyDescent="0.3">
      <c r="B61" s="47" t="s">
        <v>19</v>
      </c>
      <c r="C61" s="151" t="s">
        <v>157</v>
      </c>
      <c r="D61" s="151"/>
      <c r="E61" s="80">
        <f>PERC_MULTA_FGTS_AV_PREV_IND</f>
        <v>8.3235200000000009E-3</v>
      </c>
      <c r="F61" s="77">
        <f>PERC_MULTA_FGTS_AV_PREV_IND%*(MOD_1_REMUNERACAO+SUBMOD_2_1_DEC_TERC_ADIC_FERIAS)</f>
        <v>0.18354101468444448</v>
      </c>
    </row>
    <row r="62" spans="2:6" s="50" customFormat="1" x14ac:dyDescent="0.45">
      <c r="B62" s="47" t="s">
        <v>22</v>
      </c>
      <c r="C62" s="152" t="s">
        <v>159</v>
      </c>
      <c r="D62" s="152"/>
      <c r="E62" s="82">
        <f>PERC_AVISO_PREVIO_TRAB</f>
        <v>1.0328632222222223</v>
      </c>
      <c r="F62" s="78">
        <f>PERC_AVISO_PREVIO_TRAB%*(MOD_1_REMUNERACAO+SUBMOD_2_1_DEC_TERC_ADIC_FERIAS+SUBMOD_2_2_GPS_FGTS+SUBMOD_2_3_BENEFICIOS)</f>
        <v>37.958516655621331</v>
      </c>
    </row>
    <row r="63" spans="2:6" s="19" customFormat="1" ht="35.25" customHeight="1" x14ac:dyDescent="0.3">
      <c r="B63" s="47" t="s">
        <v>25</v>
      </c>
      <c r="C63" s="151" t="s">
        <v>161</v>
      </c>
      <c r="D63" s="151"/>
      <c r="E63" s="80">
        <f>PERC_GPS_FGTS_AVISO_PREVIO_TRAB</f>
        <v>0.38009366577777776</v>
      </c>
      <c r="F63" s="77">
        <f>PERC_GPS_FGTS_AVISO_PREVIO_TRAB%*(MOD_1_REMUNERACAO+SUBMOD_2_1_DEC_TERC_ADIC_FERIAS)</f>
        <v>8.381403191436247</v>
      </c>
    </row>
    <row r="64" spans="2:6" s="19" customFormat="1" ht="32.25" customHeight="1" x14ac:dyDescent="0.3">
      <c r="B64" s="47" t="s">
        <v>50</v>
      </c>
      <c r="C64" s="152" t="s">
        <v>163</v>
      </c>
      <c r="D64" s="152"/>
      <c r="E64" s="82">
        <f>PERC_MULTA_FGTS_AV_PREV_TRAB</f>
        <v>0.04</v>
      </c>
      <c r="F64" s="78">
        <f>PERC_MULTA_FGTS_AV_PREV_TRAB%*(MOD_1_REMUNERACAO+SUBMOD_2_1_DEC_TERC_ADIC_FERIAS)</f>
        <v>0.88203555555555557</v>
      </c>
    </row>
    <row r="65" spans="2:6" s="19" customFormat="1" x14ac:dyDescent="0.45">
      <c r="B65" s="141" t="s">
        <v>152</v>
      </c>
      <c r="C65" s="141"/>
      <c r="D65" s="141"/>
      <c r="E65" s="141"/>
      <c r="F65" s="100">
        <f>SUM(F59:F64)</f>
        <v>55.771722086328687</v>
      </c>
    </row>
    <row r="66" spans="2:6" ht="7.5" customHeight="1" x14ac:dyDescent="0.45">
      <c r="B66" s="102"/>
      <c r="D66" s="37"/>
      <c r="E66" s="46"/>
      <c r="F66" s="46"/>
    </row>
    <row r="67" spans="2:6" s="19" customFormat="1" ht="16" customHeight="1" x14ac:dyDescent="0.45">
      <c r="B67" s="45" t="s">
        <v>69</v>
      </c>
      <c r="C67" s="57"/>
      <c r="D67" s="58"/>
      <c r="E67" s="16"/>
      <c r="F67" s="16"/>
    </row>
    <row r="68" spans="2:6" s="19" customFormat="1" ht="16" customHeight="1" x14ac:dyDescent="0.45">
      <c r="B68" s="45" t="s">
        <v>70</v>
      </c>
      <c r="C68" s="57"/>
      <c r="D68" s="58"/>
      <c r="E68" s="59"/>
      <c r="F68" s="59"/>
    </row>
    <row r="69" spans="2:6" s="19" customFormat="1" ht="16.5" customHeight="1" x14ac:dyDescent="0.3">
      <c r="B69" s="26" t="s">
        <v>71</v>
      </c>
      <c r="C69" s="3" t="s">
        <v>72</v>
      </c>
      <c r="D69" s="3"/>
      <c r="E69" s="47" t="s">
        <v>73</v>
      </c>
      <c r="F69" s="47" t="s">
        <v>83</v>
      </c>
    </row>
    <row r="70" spans="2:6" s="19" customFormat="1" ht="16" customHeight="1" x14ac:dyDescent="0.3">
      <c r="B70" s="47" t="s">
        <v>14</v>
      </c>
      <c r="C70" s="146" t="s">
        <v>165</v>
      </c>
      <c r="D70" s="146"/>
      <c r="E70" s="80">
        <f>PERC_SUBSTITUTO_FERIAS</f>
        <v>8.3333333333333321</v>
      </c>
      <c r="F70" s="77">
        <f>PERC_SUBSTITUTO_FERIAS%*(MOD_1_REMUNERACAO+MOD_2_ENCARGOS_BENEFICIOS+MOD_3_PROVISAO_RESCISAO)</f>
        <v>310.90404350719399</v>
      </c>
    </row>
    <row r="71" spans="2:6" s="19" customFormat="1" ht="16" customHeight="1" x14ac:dyDescent="0.3">
      <c r="B71" s="47" t="s">
        <v>16</v>
      </c>
      <c r="C71" s="5" t="s">
        <v>167</v>
      </c>
      <c r="D71" s="5"/>
      <c r="E71" s="82">
        <f>PERC_SUBSTITUTO_AUSENCIAS_LEGAIS</f>
        <v>2.2222222222222223</v>
      </c>
      <c r="F71" s="78">
        <f>PERC_SUBSTITUTO_AUSENCIAS_LEGAIS%*(MOD_1_REMUNERACAO+MOD_2_ENCARGOS_BENEFICIOS+MOD_3_PROVISAO_RESCISAO)</f>
        <v>82.907744935251742</v>
      </c>
    </row>
    <row r="72" spans="2:6" s="19" customFormat="1" ht="16" customHeight="1" x14ac:dyDescent="0.3">
      <c r="B72" s="47" t="s">
        <v>19</v>
      </c>
      <c r="C72" s="146" t="s">
        <v>169</v>
      </c>
      <c r="D72" s="146"/>
      <c r="E72" s="80">
        <f>PERC_SUBSTITUTO_LICENCA_PATERNIDADE</f>
        <v>3.5673555555555549E-2</v>
      </c>
      <c r="F72" s="77">
        <f>PERC_SUBSTITUTO_LICENCA_PATERNIDADE%*(MOD_1_REMUNERACAO+MOD_2_ENCARGOS_BENEFICIOS+MOD_3_PROVISAO_RESCISAO)</f>
        <v>1.3309263202200896</v>
      </c>
    </row>
    <row r="73" spans="2:6" s="19" customFormat="1" ht="16.5" customHeight="1" x14ac:dyDescent="0.3">
      <c r="B73" s="47" t="s">
        <v>22</v>
      </c>
      <c r="C73" s="5" t="s">
        <v>171</v>
      </c>
      <c r="D73" s="5"/>
      <c r="E73" s="82">
        <f>PERC_SUBSTITUTO_ACID_TRAB</f>
        <v>1.85302229372558E-2</v>
      </c>
      <c r="F73" s="78">
        <f>PERC_SUBSTITUTO_ACID_TRAB%*(MOD_1_REMUNERACAO+MOD_2_ENCARGOS_BENEFICIOS+MOD_3_PROVISAO_RESCISAO)</f>
        <v>0.69133454859390986</v>
      </c>
    </row>
    <row r="74" spans="2:6" s="19" customFormat="1" ht="16.5" customHeight="1" x14ac:dyDescent="0.3">
      <c r="B74" s="47" t="s">
        <v>25</v>
      </c>
      <c r="C74" s="146" t="s">
        <v>173</v>
      </c>
      <c r="D74" s="146"/>
      <c r="E74" s="80">
        <f>PERC_SUBSTITUTO_AFAST_MATERN</f>
        <v>0.14312918399999999</v>
      </c>
      <c r="F74" s="77">
        <f>PERC_SUBSTITUTO_AFAST_MATERN%*(MOD_1_REMUNERACAO+MOD_2_ENCARGOS_BENEFICIOS+MOD_3_PROVISAO_RESCISAO)</f>
        <v>5.3399330459382215</v>
      </c>
    </row>
    <row r="75" spans="2:6" s="19" customFormat="1" x14ac:dyDescent="0.3">
      <c r="B75" s="47" t="s">
        <v>50</v>
      </c>
      <c r="C75" s="164" t="str">
        <f>OUTRAS_AUSENCIAS_DESCRICAO</f>
        <v>Outras Ausências (Especificar - em %)</v>
      </c>
      <c r="D75" s="164"/>
      <c r="E75" s="103">
        <f>PERC_SUBSTITUTO_OUTRAS_AUSENCIAS</f>
        <v>0</v>
      </c>
      <c r="F75" s="78">
        <f>PERC_SUBSTITUTO_OUTRAS_AUSENCIAS%*(MOD_1_REMUNERACAO+MOD_2_ENCARGOS_BENEFICIOS+MOD_3_PROVISAO_RESCISAO)</f>
        <v>0</v>
      </c>
    </row>
    <row r="76" spans="2:6" s="19" customFormat="1" x14ac:dyDescent="0.45">
      <c r="B76" s="141" t="s">
        <v>152</v>
      </c>
      <c r="C76" s="141"/>
      <c r="D76" s="141"/>
      <c r="E76" s="141"/>
      <c r="F76" s="100">
        <f>SUM(F70:F75)</f>
        <v>401.17398235719793</v>
      </c>
    </row>
    <row r="77" spans="2:6" s="19" customFormat="1" ht="15" customHeight="1" x14ac:dyDescent="0.45">
      <c r="B77" s="45" t="s">
        <v>75</v>
      </c>
      <c r="C77" s="57"/>
      <c r="D77" s="58"/>
      <c r="E77" s="59"/>
      <c r="F77" s="59"/>
    </row>
    <row r="78" spans="2:6" s="19" customFormat="1" x14ac:dyDescent="0.3">
      <c r="B78" s="26" t="s">
        <v>76</v>
      </c>
      <c r="C78" s="141" t="s">
        <v>77</v>
      </c>
      <c r="D78" s="141"/>
      <c r="E78" s="141"/>
      <c r="F78" s="47" t="s">
        <v>83</v>
      </c>
    </row>
    <row r="79" spans="2:6" s="19" customFormat="1" ht="16.5" customHeight="1" x14ac:dyDescent="0.3">
      <c r="B79" s="26" t="s">
        <v>14</v>
      </c>
      <c r="C79" s="146" t="s">
        <v>189</v>
      </c>
      <c r="D79" s="146"/>
      <c r="E79" s="146"/>
      <c r="F79" s="97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19" customFormat="1" x14ac:dyDescent="0.45">
      <c r="B80" s="141" t="s">
        <v>152</v>
      </c>
      <c r="C80" s="141"/>
      <c r="D80" s="141"/>
      <c r="E80" s="141"/>
      <c r="F80" s="100">
        <f>SUM(F79)</f>
        <v>0</v>
      </c>
    </row>
    <row r="81" spans="2:6" ht="7.5" customHeight="1" x14ac:dyDescent="0.45">
      <c r="B81" s="102"/>
      <c r="D81" s="37"/>
      <c r="E81" s="46"/>
      <c r="F81" s="46"/>
    </row>
    <row r="82" spans="2:6" x14ac:dyDescent="0.45">
      <c r="B82" s="45" t="s">
        <v>81</v>
      </c>
      <c r="C82" s="57"/>
      <c r="D82" s="57"/>
      <c r="E82" s="59"/>
      <c r="F82" s="59"/>
    </row>
    <row r="83" spans="2:6" ht="15.75" customHeight="1" x14ac:dyDescent="0.45">
      <c r="B83" s="60">
        <v>5</v>
      </c>
      <c r="C83" s="142" t="s">
        <v>82</v>
      </c>
      <c r="D83" s="142"/>
      <c r="E83" s="142"/>
      <c r="F83" s="61" t="s">
        <v>83</v>
      </c>
    </row>
    <row r="84" spans="2:6" ht="16.5" customHeight="1" x14ac:dyDescent="0.45">
      <c r="B84" s="62" t="s">
        <v>14</v>
      </c>
      <c r="C84" s="143" t="s">
        <v>84</v>
      </c>
      <c r="D84" s="143"/>
      <c r="E84" s="143"/>
      <c r="F84" s="104">
        <f>UNIFORMES</f>
        <v>121.16500000000002</v>
      </c>
    </row>
    <row r="85" spans="2:6" ht="16.5" customHeight="1" x14ac:dyDescent="0.45">
      <c r="B85" s="62" t="s">
        <v>16</v>
      </c>
      <c r="C85" s="144" t="s">
        <v>85</v>
      </c>
      <c r="D85" s="144"/>
      <c r="E85" s="144"/>
      <c r="F85" s="105">
        <f>MATERIAIS</f>
        <v>99.039166666666702</v>
      </c>
    </row>
    <row r="86" spans="2:6" ht="16.5" customHeight="1" x14ac:dyDescent="0.45">
      <c r="B86" s="62" t="s">
        <v>19</v>
      </c>
      <c r="C86" s="143" t="s">
        <v>212</v>
      </c>
      <c r="D86" s="143"/>
      <c r="E86" s="143"/>
      <c r="F86" s="104">
        <f>EQUIPAMENTOS</f>
        <v>202.02933333333337</v>
      </c>
    </row>
    <row r="87" spans="2:6" x14ac:dyDescent="0.45">
      <c r="B87" s="62" t="s">
        <v>22</v>
      </c>
      <c r="C87" s="165" t="s">
        <v>213</v>
      </c>
      <c r="D87" s="165"/>
      <c r="E87" s="165"/>
      <c r="F87" s="105">
        <f>OUTROS_INSUMOS</f>
        <v>282.86527777777775</v>
      </c>
    </row>
    <row r="88" spans="2:6" ht="16.5" customHeight="1" x14ac:dyDescent="0.45">
      <c r="B88" s="142" t="s">
        <v>152</v>
      </c>
      <c r="C88" s="142"/>
      <c r="D88" s="142"/>
      <c r="E88" s="142"/>
      <c r="F88" s="106">
        <f>SUM(F84:F87)</f>
        <v>705.09877777777774</v>
      </c>
    </row>
    <row r="89" spans="2:6" ht="7.5" customHeight="1" x14ac:dyDescent="0.45">
      <c r="B89" s="102"/>
      <c r="D89" s="37"/>
      <c r="E89" s="46"/>
      <c r="F89" s="46"/>
    </row>
    <row r="90" spans="2:6" ht="15" customHeight="1" x14ac:dyDescent="0.45">
      <c r="B90" s="145" t="s">
        <v>86</v>
      </c>
      <c r="C90" s="145"/>
      <c r="D90" s="145"/>
      <c r="E90" s="145"/>
      <c r="F90" s="145"/>
    </row>
    <row r="91" spans="2:6" x14ac:dyDescent="0.45">
      <c r="B91" s="26">
        <v>6</v>
      </c>
      <c r="C91" s="141" t="s">
        <v>87</v>
      </c>
      <c r="D91" s="141"/>
      <c r="E91" s="47" t="s">
        <v>73</v>
      </c>
      <c r="F91" s="47" t="s">
        <v>83</v>
      </c>
    </row>
    <row r="92" spans="2:6" ht="16.5" customHeight="1" x14ac:dyDescent="0.45">
      <c r="B92" s="26" t="s">
        <v>14</v>
      </c>
      <c r="C92" s="146" t="s">
        <v>88</v>
      </c>
      <c r="D92" s="146"/>
      <c r="E92" s="107">
        <f>PERC_CUSTOS_INDIRETOS</f>
        <v>4.7300000000000004</v>
      </c>
      <c r="F92" s="77">
        <f>PERC_CUSTOS_INDIRETOS%*(MOD_1_REMUNERACAO+MOD_2_ENCARGOS_BENEFICIOS+MOD_3_PROVISAO_RESCISAO+MOD_4_CUSTO_REPOSICAO+MOD_5_INSUMOS)</f>
        <v>228.79583664906767</v>
      </c>
    </row>
    <row r="93" spans="2:6" ht="15.75" customHeight="1" x14ac:dyDescent="0.45">
      <c r="B93" s="47" t="s">
        <v>16</v>
      </c>
      <c r="C93" s="5" t="s">
        <v>89</v>
      </c>
      <c r="D93" s="5"/>
      <c r="E93" s="108">
        <f>PERC_LUCRO</f>
        <v>5.57</v>
      </c>
      <c r="F93" s="78">
        <f>PERC_LUCRO%*(MOD_1_REMUNERACAO+MOD_2_ENCARGOS_BENEFICIOS+MOD_3_PROVISAO_RESCISAO+MOD_4_CUSTO_REPOSICAO+MOD_5_INSUMOS+AL_6_A_CUSTOS_INDIRETOS)</f>
        <v>282.1715835210797</v>
      </c>
    </row>
    <row r="94" spans="2:6" ht="16.5" customHeight="1" x14ac:dyDescent="0.45">
      <c r="B94" s="47" t="s">
        <v>19</v>
      </c>
      <c r="C94" s="146" t="s">
        <v>190</v>
      </c>
      <c r="D94" s="146"/>
      <c r="E94" s="107">
        <f>SUM(E95:E97)</f>
        <v>8.65</v>
      </c>
      <c r="F94" s="77">
        <f>SUM(F95:F97)</f>
        <v>506.41452956416038</v>
      </c>
    </row>
    <row r="95" spans="2:6" ht="15.75" customHeight="1" x14ac:dyDescent="0.45">
      <c r="B95" s="68" t="s">
        <v>90</v>
      </c>
      <c r="C95" s="166" t="s">
        <v>91</v>
      </c>
      <c r="D95" s="166"/>
      <c r="E95" s="109">
        <f>PERC_PIS</f>
        <v>0.65</v>
      </c>
      <c r="F95" s="110">
        <f>((MOD_1_REMUNERACAO+MOD_2_ENCARGOS_BENEFICIOS+MOD_3_PROVISAO_RESCISAO+MOD_4_CUSTO_REPOSICAO+MOD_5_INSUMOS+AL_6_A_CUSTOS_INDIRETOS+AL_6_B_LUCRO)*PERC_PIS%)/(1-PERC_TRIBUTOS%)</f>
        <v>38.054271007711478</v>
      </c>
    </row>
    <row r="96" spans="2:6" ht="16.5" customHeight="1" x14ac:dyDescent="0.45">
      <c r="B96" s="68" t="s">
        <v>92</v>
      </c>
      <c r="C96" s="167" t="s">
        <v>93</v>
      </c>
      <c r="D96" s="167"/>
      <c r="E96" s="111">
        <f>PERC_COFINS</f>
        <v>3</v>
      </c>
      <c r="F96" s="112">
        <f>((MOD_1_REMUNERACAO+MOD_2_ENCARGOS_BENEFICIOS+MOD_3_PROVISAO_RESCISAO+MOD_4_CUSTO_REPOSICAO+MOD_5_INSUMOS+AL_6_A_CUSTOS_INDIRETOS+AL_6_B_LUCRO)*PERC_COFINS%)/(1-PERC_TRIBUTOS%)</f>
        <v>175.63509695866833</v>
      </c>
    </row>
    <row r="97" spans="2:6" s="64" customFormat="1" ht="16.5" customHeight="1" x14ac:dyDescent="0.45">
      <c r="B97" s="68" t="s">
        <v>94</v>
      </c>
      <c r="C97" s="166" t="s">
        <v>95</v>
      </c>
      <c r="D97" s="166"/>
      <c r="E97" s="109">
        <f>PERC_ISS</f>
        <v>5</v>
      </c>
      <c r="F97" s="110">
        <f>((MOD_1_REMUNERACAO+MOD_2_ENCARGOS_BENEFICIOS+MOD_3_PROVISAO_RESCISAO+MOD_4_CUSTO_REPOSICAO+MOD_5_INSUMOS+AL_6_A_CUSTOS_INDIRETOS+AL_6_B_LUCRO)*PERC_ISS%)/(1-PERC_TRIBUTOS%)</f>
        <v>292.72516159778058</v>
      </c>
    </row>
    <row r="98" spans="2:6" s="64" customFormat="1" x14ac:dyDescent="0.45">
      <c r="B98" s="141" t="s">
        <v>152</v>
      </c>
      <c r="C98" s="141"/>
      <c r="D98" s="141"/>
      <c r="E98" s="141"/>
      <c r="F98" s="113">
        <f>AL_6_A_CUSTOS_INDIRETOS+AL_6_B_LUCRO+AL_6_C_TRIBUTOS</f>
        <v>1017.3819497343077</v>
      </c>
    </row>
    <row r="99" spans="2:6" s="64" customFormat="1" ht="21" x14ac:dyDescent="0.45">
      <c r="B99" s="114" t="s">
        <v>191</v>
      </c>
      <c r="C99" s="115"/>
      <c r="D99" s="115"/>
      <c r="E99" s="115"/>
      <c r="F99" s="116"/>
    </row>
    <row r="100" spans="2:6" s="65" customFormat="1" ht="16.5" customHeight="1" x14ac:dyDescent="0.45">
      <c r="B100" s="47" t="s">
        <v>192</v>
      </c>
      <c r="C100" s="3" t="s">
        <v>193</v>
      </c>
      <c r="D100" s="3"/>
      <c r="E100" s="3"/>
      <c r="F100" s="47" t="s">
        <v>194</v>
      </c>
    </row>
    <row r="101" spans="2:6" s="64" customFormat="1" ht="16.5" customHeight="1" x14ac:dyDescent="0.45">
      <c r="B101" s="26">
        <v>1</v>
      </c>
      <c r="C101" s="146" t="s">
        <v>43</v>
      </c>
      <c r="D101" s="146"/>
      <c r="E101" s="146"/>
      <c r="F101" s="77">
        <f>MOD_1_REMUNERACAO</f>
        <v>1984.58</v>
      </c>
    </row>
    <row r="102" spans="2:6" s="66" customFormat="1" ht="16.5" customHeight="1" x14ac:dyDescent="0.45">
      <c r="B102" s="47">
        <v>2</v>
      </c>
      <c r="C102" s="5" t="s">
        <v>195</v>
      </c>
      <c r="D102" s="5"/>
      <c r="E102" s="5"/>
      <c r="F102" s="78">
        <f>MOD_2_ENCARGOS_BENEFICIOS</f>
        <v>1690.4967999999999</v>
      </c>
    </row>
    <row r="103" spans="2:6" s="66" customFormat="1" ht="16.5" customHeight="1" x14ac:dyDescent="0.45">
      <c r="B103" s="47">
        <v>3</v>
      </c>
      <c r="C103" s="146" t="s">
        <v>113</v>
      </c>
      <c r="D103" s="146"/>
      <c r="E103" s="146"/>
      <c r="F103" s="77">
        <f>MOD_3_PROVISAO_RESCISAO</f>
        <v>55.771722086328687</v>
      </c>
    </row>
    <row r="104" spans="2:6" s="66" customFormat="1" ht="16.5" customHeight="1" x14ac:dyDescent="0.45">
      <c r="B104" s="47">
        <v>4</v>
      </c>
      <c r="C104" s="5" t="s">
        <v>196</v>
      </c>
      <c r="D104" s="5"/>
      <c r="E104" s="5"/>
      <c r="F104" s="78">
        <f>MOD_4_CUSTO_REPOSICAO</f>
        <v>401.17398235719793</v>
      </c>
    </row>
    <row r="105" spans="2:6" s="66" customFormat="1" ht="16.5" customHeight="1" x14ac:dyDescent="0.45">
      <c r="B105" s="47">
        <v>5</v>
      </c>
      <c r="C105" s="146" t="s">
        <v>82</v>
      </c>
      <c r="D105" s="146"/>
      <c r="E105" s="146"/>
      <c r="F105" s="77">
        <f>MOD_5_INSUMOS</f>
        <v>705.09877777777774</v>
      </c>
    </row>
    <row r="106" spans="2:6" s="66" customFormat="1" ht="16.5" customHeight="1" x14ac:dyDescent="0.45">
      <c r="B106" s="47">
        <v>6</v>
      </c>
      <c r="C106" s="5" t="s">
        <v>87</v>
      </c>
      <c r="D106" s="5"/>
      <c r="E106" s="5"/>
      <c r="F106" s="78">
        <f>MOD_6_CUSTOS_IND_LUCRO_TRIB</f>
        <v>1017.3819497343077</v>
      </c>
    </row>
    <row r="107" spans="2:6" ht="16.5" customHeight="1" x14ac:dyDescent="0.45">
      <c r="B107" s="3" t="s">
        <v>197</v>
      </c>
      <c r="C107" s="3"/>
      <c r="D107" s="3"/>
      <c r="E107" s="3"/>
      <c r="F107" s="113">
        <f>SUM(F101:F106)</f>
        <v>5854.5032319556112</v>
      </c>
    </row>
    <row r="108" spans="2:6" ht="16.5" customHeight="1" x14ac:dyDescent="0.45">
      <c r="B108" s="3" t="s">
        <v>198</v>
      </c>
      <c r="C108" s="3"/>
      <c r="D108" s="3"/>
      <c r="E108" s="3"/>
      <c r="F108" s="113">
        <f>VALOR_TOTAL_EMPREGADO*EMPREG_POR_POSTO</f>
        <v>5854.5032319556112</v>
      </c>
    </row>
    <row r="109" spans="2:6" ht="16.5" customHeight="1" x14ac:dyDescent="0.45">
      <c r="B109" s="3" t="s">
        <v>199</v>
      </c>
      <c r="C109" s="3"/>
      <c r="D109" s="3"/>
      <c r="E109" s="3"/>
      <c r="F109" s="113">
        <f>VALOR_TOTAL_EMPREGADO*EMPREG_POR_POSTO*QTDE_POSTOS</f>
        <v>5854.5032319556112</v>
      </c>
    </row>
  </sheetData>
  <mergeCells count="98">
    <mergeCell ref="B108:E108"/>
    <mergeCell ref="B109:E109"/>
    <mergeCell ref="C103:E103"/>
    <mergeCell ref="C104:E104"/>
    <mergeCell ref="C105:E105"/>
    <mergeCell ref="C106:E106"/>
    <mergeCell ref="B107:E107"/>
    <mergeCell ref="C97:D97"/>
    <mergeCell ref="B98:E98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C87:E87"/>
    <mergeCell ref="B88:E88"/>
    <mergeCell ref="B90:F90"/>
    <mergeCell ref="C91:D91"/>
    <mergeCell ref="C79:E79"/>
    <mergeCell ref="B80:E80"/>
    <mergeCell ref="C83:E83"/>
    <mergeCell ref="C84:E84"/>
    <mergeCell ref="C85:E85"/>
    <mergeCell ref="C73:D73"/>
    <mergeCell ref="C74:D74"/>
    <mergeCell ref="C75:D75"/>
    <mergeCell ref="B76:E76"/>
    <mergeCell ref="C78:E78"/>
    <mergeCell ref="B65:E65"/>
    <mergeCell ref="C69:D69"/>
    <mergeCell ref="C70:D70"/>
    <mergeCell ref="C71:D71"/>
    <mergeCell ref="C72:D72"/>
    <mergeCell ref="C60:D60"/>
    <mergeCell ref="C61:D61"/>
    <mergeCell ref="C62:D62"/>
    <mergeCell ref="C63:D63"/>
    <mergeCell ref="C64:D64"/>
    <mergeCell ref="C54:E54"/>
    <mergeCell ref="C55:E55"/>
    <mergeCell ref="B56:E56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F28"/>
  <sheetViews>
    <sheetView zoomScaleNormal="100" workbookViewId="0">
      <selection activeCell="B4" sqref="B4"/>
    </sheetView>
  </sheetViews>
  <sheetFormatPr defaultRowHeight="12.5" x14ac:dyDescent="0.25"/>
  <cols>
    <col min="1" max="2" width="11.54296875"/>
    <col min="3" max="3" width="60.453125" customWidth="1"/>
    <col min="4" max="1020" width="11.54296875"/>
  </cols>
  <sheetData>
    <row r="3" spans="2:6" ht="16.5" x14ac:dyDescent="0.45">
      <c r="B3" s="117" t="s">
        <v>331</v>
      </c>
    </row>
    <row r="5" spans="2:6" ht="16.5" x14ac:dyDescent="0.45">
      <c r="B5" s="118" t="s">
        <v>200</v>
      </c>
      <c r="C5" s="118" t="s">
        <v>201</v>
      </c>
      <c r="D5" s="118" t="s">
        <v>202</v>
      </c>
      <c r="E5" s="118" t="s">
        <v>203</v>
      </c>
      <c r="F5" s="118" t="s">
        <v>204</v>
      </c>
    </row>
    <row r="6" spans="2:6" ht="61.5" customHeight="1" x14ac:dyDescent="0.45">
      <c r="B6" s="24">
        <v>1</v>
      </c>
      <c r="C6" s="119" t="s">
        <v>214</v>
      </c>
      <c r="D6" s="120">
        <v>5</v>
      </c>
      <c r="E6" s="121">
        <v>40.99</v>
      </c>
      <c r="F6" s="121">
        <f t="shared" ref="F6:F10" si="0">D6*E6</f>
        <v>204.95000000000002</v>
      </c>
    </row>
    <row r="7" spans="2:6" ht="16" customHeight="1" x14ac:dyDescent="0.45">
      <c r="B7" s="24">
        <v>2</v>
      </c>
      <c r="C7" s="122" t="s">
        <v>215</v>
      </c>
      <c r="D7" s="89">
        <v>4</v>
      </c>
      <c r="E7" s="123">
        <v>54</v>
      </c>
      <c r="F7" s="123">
        <f t="shared" si="0"/>
        <v>216</v>
      </c>
    </row>
    <row r="8" spans="2:6" ht="36" customHeight="1" x14ac:dyDescent="0.45">
      <c r="B8" s="24">
        <v>3</v>
      </c>
      <c r="C8" s="124" t="s">
        <v>216</v>
      </c>
      <c r="D8" s="120">
        <v>1</v>
      </c>
      <c r="E8" s="121">
        <v>46.97</v>
      </c>
      <c r="F8" s="121">
        <f t="shared" si="0"/>
        <v>46.97</v>
      </c>
    </row>
    <row r="9" spans="2:6" ht="20" customHeight="1" x14ac:dyDescent="0.45">
      <c r="B9" s="24">
        <v>4</v>
      </c>
      <c r="C9" s="125" t="s">
        <v>217</v>
      </c>
      <c r="D9" s="89">
        <v>5</v>
      </c>
      <c r="E9" s="123">
        <v>40</v>
      </c>
      <c r="F9" s="123">
        <f t="shared" si="0"/>
        <v>200</v>
      </c>
    </row>
    <row r="10" spans="2:6" ht="23" customHeight="1" x14ac:dyDescent="0.45">
      <c r="B10" s="24">
        <v>5</v>
      </c>
      <c r="C10" s="124" t="s">
        <v>218</v>
      </c>
      <c r="D10" s="120">
        <v>1</v>
      </c>
      <c r="E10" s="121">
        <v>59.07</v>
      </c>
      <c r="F10" s="121">
        <f t="shared" si="0"/>
        <v>59.07</v>
      </c>
    </row>
    <row r="11" spans="2:6" ht="16.5" x14ac:dyDescent="0.45">
      <c r="B11" s="3" t="s">
        <v>205</v>
      </c>
      <c r="C11" s="3"/>
      <c r="D11" s="3"/>
      <c r="E11" s="3"/>
      <c r="F11" s="126">
        <f>SUM(F6:F10)</f>
        <v>726.99000000000012</v>
      </c>
    </row>
    <row r="12" spans="2:6" ht="16.399999999999999" customHeight="1" x14ac:dyDescent="0.45">
      <c r="B12" s="3" t="s">
        <v>206</v>
      </c>
      <c r="C12" s="3"/>
      <c r="D12" s="3"/>
      <c r="E12" s="3"/>
      <c r="F12" s="126">
        <f>F11/6</f>
        <v>121.16500000000002</v>
      </c>
    </row>
    <row r="13" spans="2:6" ht="16.399999999999999" customHeight="1" x14ac:dyDescent="0.25"/>
    <row r="27" ht="16.399999999999999" customHeight="1" x14ac:dyDescent="0.25"/>
    <row r="28" ht="16.399999999999999" customHeight="1" x14ac:dyDescent="0.45"/>
  </sheetData>
  <mergeCells count="2">
    <mergeCell ref="B12:E12"/>
    <mergeCell ref="B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F57"/>
  <sheetViews>
    <sheetView topLeftCell="A52" zoomScaleNormal="100" workbookViewId="0">
      <selection activeCell="H5" sqref="H5"/>
    </sheetView>
  </sheetViews>
  <sheetFormatPr defaultRowHeight="12.5" x14ac:dyDescent="0.25"/>
  <cols>
    <col min="1" max="2" width="11.54296875"/>
    <col min="3" max="3" width="85.90625" customWidth="1"/>
    <col min="4" max="1017" width="11.54296875"/>
  </cols>
  <sheetData>
    <row r="4" spans="2:6" ht="16.5" x14ac:dyDescent="0.45">
      <c r="B4" s="117" t="s">
        <v>219</v>
      </c>
    </row>
    <row r="6" spans="2:6" ht="33" x14ac:dyDescent="0.25">
      <c r="B6" s="127" t="s">
        <v>200</v>
      </c>
      <c r="C6" s="127" t="s">
        <v>201</v>
      </c>
      <c r="D6" s="127" t="s">
        <v>202</v>
      </c>
      <c r="E6" s="127" t="s">
        <v>203</v>
      </c>
      <c r="F6" s="127" t="s">
        <v>207</v>
      </c>
    </row>
    <row r="7" spans="2:6" ht="16.5" x14ac:dyDescent="0.45">
      <c r="B7" s="24">
        <v>1</v>
      </c>
      <c r="C7" s="128" t="s">
        <v>220</v>
      </c>
      <c r="D7" s="120">
        <v>12</v>
      </c>
      <c r="E7" s="129">
        <v>28.31</v>
      </c>
      <c r="F7" s="129">
        <f t="shared" ref="F7:F54" si="0">D7*E7</f>
        <v>339.71999999999997</v>
      </c>
    </row>
    <row r="8" spans="2:6" ht="16.5" x14ac:dyDescent="0.45">
      <c r="B8" s="24">
        <v>2</v>
      </c>
      <c r="C8" s="131" t="s">
        <v>221</v>
      </c>
      <c r="D8" s="89">
        <v>12</v>
      </c>
      <c r="E8" s="132">
        <v>3.55</v>
      </c>
      <c r="F8" s="132">
        <f t="shared" si="0"/>
        <v>42.599999999999994</v>
      </c>
    </row>
    <row r="9" spans="2:6" ht="16.5" x14ac:dyDescent="0.45">
      <c r="B9" s="24">
        <v>3</v>
      </c>
      <c r="C9" s="128" t="s">
        <v>222</v>
      </c>
      <c r="D9" s="120">
        <v>1</v>
      </c>
      <c r="E9" s="129">
        <v>233.74</v>
      </c>
      <c r="F9" s="129">
        <f t="shared" si="0"/>
        <v>233.74</v>
      </c>
    </row>
    <row r="10" spans="2:6" ht="16.5" x14ac:dyDescent="0.45">
      <c r="B10" s="24">
        <v>4</v>
      </c>
      <c r="C10" s="131" t="s">
        <v>223</v>
      </c>
      <c r="D10" s="89">
        <v>4</v>
      </c>
      <c r="E10" s="132">
        <v>29.13</v>
      </c>
      <c r="F10" s="132">
        <f t="shared" si="0"/>
        <v>116.52</v>
      </c>
    </row>
    <row r="11" spans="2:6" ht="16.5" x14ac:dyDescent="0.45">
      <c r="B11" s="24">
        <v>5</v>
      </c>
      <c r="C11" s="128" t="s">
        <v>224</v>
      </c>
      <c r="D11" s="120">
        <v>12</v>
      </c>
      <c r="E11" s="129">
        <v>23.89</v>
      </c>
      <c r="F11" s="129">
        <f t="shared" si="0"/>
        <v>286.68</v>
      </c>
    </row>
    <row r="12" spans="2:6" ht="16.5" x14ac:dyDescent="0.45">
      <c r="B12" s="24">
        <v>6</v>
      </c>
      <c r="C12" s="131" t="s">
        <v>225</v>
      </c>
      <c r="D12" s="89">
        <v>12</v>
      </c>
      <c r="E12" s="132">
        <v>2.95</v>
      </c>
      <c r="F12" s="132">
        <f t="shared" si="0"/>
        <v>35.400000000000006</v>
      </c>
    </row>
    <row r="13" spans="2:6" ht="16.5" x14ac:dyDescent="0.45">
      <c r="B13" s="24">
        <v>7</v>
      </c>
      <c r="C13" s="128" t="s">
        <v>226</v>
      </c>
      <c r="D13" s="120">
        <v>12</v>
      </c>
      <c r="E13" s="129">
        <v>26.77</v>
      </c>
      <c r="F13" s="129">
        <f t="shared" si="0"/>
        <v>321.24</v>
      </c>
    </row>
    <row r="14" spans="2:6" ht="16.5" x14ac:dyDescent="0.45">
      <c r="B14" s="24">
        <v>8</v>
      </c>
      <c r="C14" s="131" t="s">
        <v>227</v>
      </c>
      <c r="D14" s="134">
        <v>6</v>
      </c>
      <c r="E14" s="135">
        <v>27.02</v>
      </c>
      <c r="F14" s="132">
        <f t="shared" si="0"/>
        <v>162.12</v>
      </c>
    </row>
    <row r="15" spans="2:6" ht="16.5" x14ac:dyDescent="0.45">
      <c r="B15" s="24">
        <v>9</v>
      </c>
      <c r="C15" s="128" t="s">
        <v>228</v>
      </c>
      <c r="D15" s="137">
        <v>3</v>
      </c>
      <c r="E15" s="138">
        <v>36.75</v>
      </c>
      <c r="F15" s="129">
        <f t="shared" si="0"/>
        <v>110.25</v>
      </c>
    </row>
    <row r="16" spans="2:6" ht="16.5" x14ac:dyDescent="0.45">
      <c r="B16" s="24">
        <v>10</v>
      </c>
      <c r="C16" s="131" t="s">
        <v>229</v>
      </c>
      <c r="D16" s="134">
        <v>8</v>
      </c>
      <c r="E16" s="135">
        <v>5.0599999999999996</v>
      </c>
      <c r="F16" s="132">
        <f t="shared" si="0"/>
        <v>40.479999999999997</v>
      </c>
    </row>
    <row r="17" spans="2:6" ht="16.5" x14ac:dyDescent="0.45">
      <c r="B17" s="24">
        <v>11</v>
      </c>
      <c r="C17" s="128" t="s">
        <v>230</v>
      </c>
      <c r="D17" s="137">
        <v>8</v>
      </c>
      <c r="E17" s="138">
        <v>4.05</v>
      </c>
      <c r="F17" s="129">
        <f t="shared" si="0"/>
        <v>32.4</v>
      </c>
    </row>
    <row r="18" spans="2:6" ht="16.5" x14ac:dyDescent="0.45">
      <c r="B18" s="24">
        <v>12</v>
      </c>
      <c r="C18" s="131" t="s">
        <v>231</v>
      </c>
      <c r="D18" s="134">
        <v>8</v>
      </c>
      <c r="E18" s="135">
        <v>22.62</v>
      </c>
      <c r="F18" s="132">
        <f t="shared" si="0"/>
        <v>180.96</v>
      </c>
    </row>
    <row r="19" spans="2:6" ht="16.5" x14ac:dyDescent="0.45">
      <c r="B19" s="24">
        <v>13</v>
      </c>
      <c r="C19" s="128" t="s">
        <v>232</v>
      </c>
      <c r="D19" s="137">
        <v>2</v>
      </c>
      <c r="E19" s="138">
        <v>13.69</v>
      </c>
      <c r="F19" s="129">
        <f t="shared" si="0"/>
        <v>27.38</v>
      </c>
    </row>
    <row r="20" spans="2:6" ht="16.5" x14ac:dyDescent="0.45">
      <c r="B20" s="24">
        <v>14</v>
      </c>
      <c r="C20" s="131" t="s">
        <v>233</v>
      </c>
      <c r="D20" s="134">
        <v>2</v>
      </c>
      <c r="E20" s="135">
        <v>6.28</v>
      </c>
      <c r="F20" s="132">
        <f t="shared" si="0"/>
        <v>12.56</v>
      </c>
    </row>
    <row r="21" spans="2:6" ht="16.399999999999999" customHeight="1" x14ac:dyDescent="0.45">
      <c r="B21" s="24">
        <v>15</v>
      </c>
      <c r="C21" s="128" t="s">
        <v>234</v>
      </c>
      <c r="D21" s="120">
        <v>2</v>
      </c>
      <c r="E21" s="129">
        <v>6</v>
      </c>
      <c r="F21" s="129">
        <f t="shared" si="0"/>
        <v>12</v>
      </c>
    </row>
    <row r="22" spans="2:6" ht="16.399999999999999" customHeight="1" x14ac:dyDescent="0.45">
      <c r="B22" s="24">
        <v>16</v>
      </c>
      <c r="C22" s="131" t="s">
        <v>235</v>
      </c>
      <c r="D22" s="89">
        <v>2</v>
      </c>
      <c r="E22" s="132">
        <v>8.6300000000000008</v>
      </c>
      <c r="F22" s="132">
        <f t="shared" si="0"/>
        <v>17.260000000000002</v>
      </c>
    </row>
    <row r="23" spans="2:6" ht="16.399999999999999" customHeight="1" x14ac:dyDescent="0.45">
      <c r="B23" s="24">
        <v>17</v>
      </c>
      <c r="C23" s="128" t="s">
        <v>236</v>
      </c>
      <c r="D23" s="120">
        <v>2</v>
      </c>
      <c r="E23" s="129">
        <v>9.35</v>
      </c>
      <c r="F23" s="129">
        <f t="shared" si="0"/>
        <v>18.7</v>
      </c>
    </row>
    <row r="24" spans="2:6" ht="16.5" x14ac:dyDescent="0.45">
      <c r="B24" s="24">
        <v>18</v>
      </c>
      <c r="C24" s="131" t="s">
        <v>237</v>
      </c>
      <c r="D24" s="89">
        <v>2</v>
      </c>
      <c r="E24" s="132">
        <v>10.99</v>
      </c>
      <c r="F24" s="132">
        <f t="shared" si="0"/>
        <v>21.98</v>
      </c>
    </row>
    <row r="25" spans="2:6" ht="16.5" x14ac:dyDescent="0.45">
      <c r="B25" s="24">
        <v>19</v>
      </c>
      <c r="C25" s="128" t="s">
        <v>238</v>
      </c>
      <c r="D25" s="120">
        <v>2</v>
      </c>
      <c r="E25" s="129">
        <v>0.59</v>
      </c>
      <c r="F25" s="129">
        <f t="shared" si="0"/>
        <v>1.18</v>
      </c>
    </row>
    <row r="26" spans="2:6" ht="16.5" x14ac:dyDescent="0.45">
      <c r="B26" s="24">
        <v>20</v>
      </c>
      <c r="C26" s="131" t="s">
        <v>239</v>
      </c>
      <c r="D26" s="89">
        <v>2</v>
      </c>
      <c r="E26" s="132">
        <v>0.78</v>
      </c>
      <c r="F26" s="132">
        <f t="shared" si="0"/>
        <v>1.56</v>
      </c>
    </row>
    <row r="27" spans="2:6" ht="16.5" x14ac:dyDescent="0.45">
      <c r="B27" s="24">
        <v>21</v>
      </c>
      <c r="C27" s="128" t="s">
        <v>240</v>
      </c>
      <c r="D27" s="120">
        <v>2</v>
      </c>
      <c r="E27" s="129">
        <v>0.99</v>
      </c>
      <c r="F27" s="129">
        <f t="shared" si="0"/>
        <v>1.98</v>
      </c>
    </row>
    <row r="28" spans="2:6" ht="16.5" x14ac:dyDescent="0.45">
      <c r="B28" s="24">
        <v>22</v>
      </c>
      <c r="C28" s="131" t="s">
        <v>241</v>
      </c>
      <c r="D28" s="134">
        <v>8</v>
      </c>
      <c r="E28" s="135">
        <v>1.74</v>
      </c>
      <c r="F28" s="132">
        <f t="shared" si="0"/>
        <v>13.92</v>
      </c>
    </row>
    <row r="29" spans="2:6" ht="16.5" x14ac:dyDescent="0.45">
      <c r="B29" s="24">
        <v>23</v>
      </c>
      <c r="C29" s="128" t="s">
        <v>242</v>
      </c>
      <c r="D29" s="137">
        <v>10</v>
      </c>
      <c r="E29" s="138">
        <v>2.76</v>
      </c>
      <c r="F29" s="129">
        <f t="shared" si="0"/>
        <v>27.599999999999998</v>
      </c>
    </row>
    <row r="30" spans="2:6" ht="16.5" x14ac:dyDescent="0.45">
      <c r="B30" s="24">
        <v>24</v>
      </c>
      <c r="C30" s="131" t="s">
        <v>243</v>
      </c>
      <c r="D30" s="134">
        <v>1</v>
      </c>
      <c r="E30" s="135">
        <v>114.01</v>
      </c>
      <c r="F30" s="132">
        <f t="shared" si="0"/>
        <v>114.01</v>
      </c>
    </row>
    <row r="31" spans="2:6" ht="16.5" x14ac:dyDescent="0.45">
      <c r="B31" s="24">
        <v>25</v>
      </c>
      <c r="C31" s="128" t="s">
        <v>244</v>
      </c>
      <c r="D31" s="120">
        <v>5</v>
      </c>
      <c r="E31" s="129">
        <v>4.04</v>
      </c>
      <c r="F31" s="129">
        <f t="shared" si="0"/>
        <v>20.2</v>
      </c>
    </row>
    <row r="32" spans="2:6" ht="16.5" x14ac:dyDescent="0.45">
      <c r="B32" s="24">
        <v>26</v>
      </c>
      <c r="C32" s="131" t="s">
        <v>245</v>
      </c>
      <c r="D32" s="89">
        <v>3</v>
      </c>
      <c r="E32" s="132">
        <v>27.33</v>
      </c>
      <c r="F32" s="132">
        <f t="shared" si="0"/>
        <v>81.99</v>
      </c>
    </row>
    <row r="33" spans="2:6" ht="16.5" x14ac:dyDescent="0.45">
      <c r="B33" s="24">
        <v>27</v>
      </c>
      <c r="C33" s="128" t="s">
        <v>246</v>
      </c>
      <c r="D33" s="120">
        <v>3</v>
      </c>
      <c r="E33" s="129">
        <v>22.44</v>
      </c>
      <c r="F33" s="129">
        <f t="shared" si="0"/>
        <v>67.320000000000007</v>
      </c>
    </row>
    <row r="34" spans="2:6" ht="16.5" x14ac:dyDescent="0.45">
      <c r="B34" s="24">
        <v>28</v>
      </c>
      <c r="C34" s="131" t="s">
        <v>247</v>
      </c>
      <c r="D34" s="89">
        <v>12</v>
      </c>
      <c r="E34" s="132">
        <v>5.08</v>
      </c>
      <c r="F34" s="132">
        <f t="shared" si="0"/>
        <v>60.96</v>
      </c>
    </row>
    <row r="35" spans="2:6" ht="16.399999999999999" customHeight="1" x14ac:dyDescent="0.45">
      <c r="B35" s="24">
        <v>29</v>
      </c>
      <c r="C35" s="128" t="s">
        <v>248</v>
      </c>
      <c r="D35" s="120">
        <v>2</v>
      </c>
      <c r="E35" s="129">
        <v>67.48</v>
      </c>
      <c r="F35" s="129">
        <f t="shared" si="0"/>
        <v>134.96</v>
      </c>
    </row>
    <row r="36" spans="2:6" ht="16.399999999999999" customHeight="1" x14ac:dyDescent="0.45">
      <c r="B36" s="24">
        <v>30</v>
      </c>
      <c r="C36" s="131" t="s">
        <v>249</v>
      </c>
      <c r="D36" s="89">
        <v>5</v>
      </c>
      <c r="E36" s="132">
        <v>2.2999999999999998</v>
      </c>
      <c r="F36" s="132">
        <f t="shared" si="0"/>
        <v>11.5</v>
      </c>
    </row>
    <row r="37" spans="2:6" ht="16.399999999999999" customHeight="1" x14ac:dyDescent="0.45">
      <c r="B37" s="24">
        <v>31</v>
      </c>
      <c r="C37" s="128" t="s">
        <v>250</v>
      </c>
      <c r="D37" s="120">
        <v>1</v>
      </c>
      <c r="E37" s="129">
        <v>25</v>
      </c>
      <c r="F37" s="129">
        <f t="shared" si="0"/>
        <v>25</v>
      </c>
    </row>
    <row r="38" spans="2:6" ht="16.5" x14ac:dyDescent="0.45">
      <c r="B38" s="24">
        <v>32</v>
      </c>
      <c r="C38" s="131" t="s">
        <v>251</v>
      </c>
      <c r="D38" s="134">
        <v>5</v>
      </c>
      <c r="E38" s="135">
        <v>17.329999999999998</v>
      </c>
      <c r="F38" s="132">
        <f t="shared" si="0"/>
        <v>86.649999999999991</v>
      </c>
    </row>
    <row r="39" spans="2:6" ht="16.5" x14ac:dyDescent="0.45">
      <c r="B39" s="24">
        <v>33</v>
      </c>
      <c r="C39" s="128" t="s">
        <v>252</v>
      </c>
      <c r="D39" s="137">
        <v>2</v>
      </c>
      <c r="E39" s="138">
        <v>12.55</v>
      </c>
      <c r="F39" s="129">
        <f t="shared" si="0"/>
        <v>25.1</v>
      </c>
    </row>
    <row r="40" spans="2:6" ht="16.5" x14ac:dyDescent="0.45">
      <c r="B40" s="24">
        <v>34</v>
      </c>
      <c r="C40" s="131" t="s">
        <v>253</v>
      </c>
      <c r="D40" s="134">
        <v>1</v>
      </c>
      <c r="E40" s="135">
        <v>100</v>
      </c>
      <c r="F40" s="132">
        <f t="shared" si="0"/>
        <v>100</v>
      </c>
    </row>
    <row r="41" spans="2:6" ht="16.5" x14ac:dyDescent="0.45">
      <c r="B41" s="24">
        <v>35</v>
      </c>
      <c r="C41" s="128" t="s">
        <v>254</v>
      </c>
      <c r="D41" s="120">
        <v>2</v>
      </c>
      <c r="E41" s="129">
        <v>16.850000000000001</v>
      </c>
      <c r="F41" s="129">
        <f t="shared" si="0"/>
        <v>33.700000000000003</v>
      </c>
    </row>
    <row r="42" spans="2:6" ht="16.5" x14ac:dyDescent="0.45">
      <c r="B42" s="24">
        <v>36</v>
      </c>
      <c r="C42" s="131" t="s">
        <v>255</v>
      </c>
      <c r="D42" s="89">
        <v>6</v>
      </c>
      <c r="E42" s="132">
        <v>10.47</v>
      </c>
      <c r="F42" s="132">
        <f t="shared" si="0"/>
        <v>62.820000000000007</v>
      </c>
    </row>
    <row r="43" spans="2:6" ht="16.5" x14ac:dyDescent="0.45">
      <c r="B43" s="24">
        <v>37</v>
      </c>
      <c r="C43" s="128" t="s">
        <v>256</v>
      </c>
      <c r="D43" s="120">
        <v>6</v>
      </c>
      <c r="E43" s="129">
        <v>9.17</v>
      </c>
      <c r="F43" s="129">
        <f t="shared" si="0"/>
        <v>55.019999999999996</v>
      </c>
    </row>
    <row r="44" spans="2:6" ht="16.5" x14ac:dyDescent="0.45">
      <c r="B44" s="24">
        <v>38</v>
      </c>
      <c r="C44" s="131" t="s">
        <v>257</v>
      </c>
      <c r="D44" s="89">
        <v>20</v>
      </c>
      <c r="E44" s="132">
        <v>7.42</v>
      </c>
      <c r="F44" s="132">
        <f t="shared" si="0"/>
        <v>148.4</v>
      </c>
    </row>
    <row r="45" spans="2:6" ht="16.5" x14ac:dyDescent="0.45">
      <c r="B45" s="24">
        <v>39</v>
      </c>
      <c r="C45" s="128" t="s">
        <v>258</v>
      </c>
      <c r="D45" s="120">
        <v>1</v>
      </c>
      <c r="E45" s="129">
        <v>25.34</v>
      </c>
      <c r="F45" s="129">
        <f t="shared" si="0"/>
        <v>25.34</v>
      </c>
    </row>
    <row r="46" spans="2:6" ht="16.5" x14ac:dyDescent="0.45">
      <c r="B46" s="24">
        <v>40</v>
      </c>
      <c r="C46" s="131" t="s">
        <v>259</v>
      </c>
      <c r="D46" s="89">
        <v>2</v>
      </c>
      <c r="E46" s="132">
        <v>33.799999999999997</v>
      </c>
      <c r="F46" s="132">
        <f t="shared" si="0"/>
        <v>67.599999999999994</v>
      </c>
    </row>
    <row r="47" spans="2:6" ht="16.5" x14ac:dyDescent="0.45">
      <c r="B47" s="24">
        <v>41</v>
      </c>
      <c r="C47" s="128" t="s">
        <v>260</v>
      </c>
      <c r="D47" s="120">
        <v>1</v>
      </c>
      <c r="E47" s="129">
        <v>54.19</v>
      </c>
      <c r="F47" s="129">
        <f t="shared" si="0"/>
        <v>54.19</v>
      </c>
    </row>
    <row r="48" spans="2:6" ht="16.5" x14ac:dyDescent="0.45">
      <c r="B48" s="24">
        <v>42</v>
      </c>
      <c r="C48" s="131" t="s">
        <v>261</v>
      </c>
      <c r="D48" s="134">
        <v>1</v>
      </c>
      <c r="E48" s="135">
        <v>79.86</v>
      </c>
      <c r="F48" s="132">
        <f t="shared" si="0"/>
        <v>79.86</v>
      </c>
    </row>
    <row r="49" spans="2:6" ht="16.5" x14ac:dyDescent="0.45">
      <c r="B49" s="24">
        <v>43</v>
      </c>
      <c r="C49" s="128" t="s">
        <v>262</v>
      </c>
      <c r="D49" s="137">
        <v>2</v>
      </c>
      <c r="E49" s="138">
        <v>26.9</v>
      </c>
      <c r="F49" s="129">
        <f t="shared" si="0"/>
        <v>53.8</v>
      </c>
    </row>
    <row r="50" spans="2:6" ht="16.5" x14ac:dyDescent="0.45">
      <c r="B50" s="24">
        <v>44</v>
      </c>
      <c r="C50" s="131" t="s">
        <v>263</v>
      </c>
      <c r="D50" s="134">
        <v>2</v>
      </c>
      <c r="E50" s="135">
        <v>12.13</v>
      </c>
      <c r="F50" s="132">
        <f t="shared" si="0"/>
        <v>24.26</v>
      </c>
    </row>
    <row r="51" spans="2:6" ht="16.5" x14ac:dyDescent="0.45">
      <c r="B51" s="24">
        <v>45</v>
      </c>
      <c r="C51" s="128" t="s">
        <v>264</v>
      </c>
      <c r="D51" s="137">
        <v>25</v>
      </c>
      <c r="E51" s="138">
        <v>0.66</v>
      </c>
      <c r="F51" s="129">
        <f t="shared" si="0"/>
        <v>16.5</v>
      </c>
    </row>
    <row r="52" spans="2:6" ht="16.5" x14ac:dyDescent="0.45">
      <c r="B52" s="24">
        <v>46</v>
      </c>
      <c r="C52" s="131" t="s">
        <v>265</v>
      </c>
      <c r="D52" s="134">
        <v>100</v>
      </c>
      <c r="E52" s="135">
        <v>0.71</v>
      </c>
      <c r="F52" s="132">
        <f t="shared" si="0"/>
        <v>71</v>
      </c>
    </row>
    <row r="53" spans="2:6" ht="16.5" x14ac:dyDescent="0.45">
      <c r="B53" s="24">
        <v>47</v>
      </c>
      <c r="C53" s="128" t="s">
        <v>266</v>
      </c>
      <c r="D53" s="137">
        <v>100</v>
      </c>
      <c r="E53" s="138">
        <v>0.72</v>
      </c>
      <c r="F53" s="129">
        <f t="shared" si="0"/>
        <v>72</v>
      </c>
    </row>
    <row r="54" spans="2:6" ht="16.5" x14ac:dyDescent="0.45">
      <c r="B54" s="24">
        <v>48</v>
      </c>
      <c r="C54" s="131" t="s">
        <v>267</v>
      </c>
      <c r="D54" s="134">
        <v>25</v>
      </c>
      <c r="E54" s="135">
        <v>0.6</v>
      </c>
      <c r="F54" s="132">
        <f t="shared" si="0"/>
        <v>15</v>
      </c>
    </row>
    <row r="55" spans="2:6" ht="16.5" x14ac:dyDescent="0.25">
      <c r="B55" s="169" t="s">
        <v>152</v>
      </c>
      <c r="C55" s="170"/>
      <c r="D55" s="170"/>
      <c r="E55" s="171"/>
      <c r="F55" s="172">
        <f>SUM(F7:F54)</f>
        <v>3565.4100000000012</v>
      </c>
    </row>
    <row r="56" spans="2:6" ht="16.5" x14ac:dyDescent="0.25">
      <c r="B56" s="169" t="s">
        <v>211</v>
      </c>
      <c r="C56" s="170"/>
      <c r="D56" s="170"/>
      <c r="E56" s="171"/>
      <c r="F56" s="172">
        <f>F55/3</f>
        <v>1188.4700000000005</v>
      </c>
    </row>
    <row r="57" spans="2:6" ht="16.5" x14ac:dyDescent="0.25">
      <c r="B57" s="169" t="s">
        <v>206</v>
      </c>
      <c r="C57" s="170"/>
      <c r="D57" s="170"/>
      <c r="E57" s="171"/>
      <c r="F57" s="172">
        <f>F56/12</f>
        <v>99.039166666666702</v>
      </c>
    </row>
  </sheetData>
  <mergeCells count="3">
    <mergeCell ref="B55:E55"/>
    <mergeCell ref="B56:E56"/>
    <mergeCell ref="B57:E5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EEF7-6DD7-4D58-88D9-BF2BD1AE8304}">
  <dimension ref="C3:J39"/>
  <sheetViews>
    <sheetView topLeftCell="A37" workbookViewId="0">
      <selection activeCell="I43" sqref="I43"/>
    </sheetView>
  </sheetViews>
  <sheetFormatPr defaultRowHeight="12.5" x14ac:dyDescent="0.25"/>
  <cols>
    <col min="4" max="4" width="78.90625" bestFit="1" customWidth="1"/>
    <col min="6" max="7" width="10.453125" bestFit="1" customWidth="1"/>
    <col min="10" max="10" width="11.7265625" bestFit="1" customWidth="1"/>
  </cols>
  <sheetData>
    <row r="3" spans="3:10" ht="16.5" x14ac:dyDescent="0.45">
      <c r="C3" s="117" t="s">
        <v>268</v>
      </c>
    </row>
    <row r="5" spans="3:10" ht="66" x14ac:dyDescent="0.25">
      <c r="C5" s="127" t="s">
        <v>200</v>
      </c>
      <c r="D5" s="127" t="s">
        <v>201</v>
      </c>
      <c r="E5" s="127" t="s">
        <v>202</v>
      </c>
      <c r="F5" s="127" t="s">
        <v>203</v>
      </c>
      <c r="G5" s="127" t="s">
        <v>207</v>
      </c>
      <c r="H5" s="127" t="s">
        <v>208</v>
      </c>
      <c r="I5" s="127" t="s">
        <v>209</v>
      </c>
      <c r="J5" s="127" t="s">
        <v>210</v>
      </c>
    </row>
    <row r="6" spans="3:10" ht="16.5" x14ac:dyDescent="0.45">
      <c r="C6" s="24">
        <v>1</v>
      </c>
      <c r="D6" s="128" t="s">
        <v>270</v>
      </c>
      <c r="E6" s="120">
        <v>1</v>
      </c>
      <c r="F6" s="129">
        <v>731.39</v>
      </c>
      <c r="G6" s="129">
        <f t="shared" ref="G6:G32" si="0">E6*F6</f>
        <v>731.39</v>
      </c>
      <c r="H6" s="130">
        <v>5</v>
      </c>
      <c r="I6" s="130">
        <v>20</v>
      </c>
      <c r="J6" s="129">
        <f>(((G6*(100-I6)/100)/(H6)))</f>
        <v>117.02239999999999</v>
      </c>
    </row>
    <row r="7" spans="3:10" ht="16.5" x14ac:dyDescent="0.45">
      <c r="C7" s="24">
        <v>2</v>
      </c>
      <c r="D7" s="131" t="s">
        <v>271</v>
      </c>
      <c r="E7" s="89">
        <v>1</v>
      </c>
      <c r="F7" s="132">
        <v>21.62</v>
      </c>
      <c r="G7" s="132">
        <f t="shared" si="0"/>
        <v>21.62</v>
      </c>
      <c r="H7" s="133">
        <v>5</v>
      </c>
      <c r="I7" s="133">
        <v>20</v>
      </c>
      <c r="J7" s="132">
        <f t="shared" ref="J7:J37" si="1">(((G7*(100-I7)/100)/H7))</f>
        <v>3.4592000000000005</v>
      </c>
    </row>
    <row r="8" spans="3:10" ht="16.5" x14ac:dyDescent="0.45">
      <c r="C8" s="24">
        <v>3</v>
      </c>
      <c r="D8" s="128" t="s">
        <v>272</v>
      </c>
      <c r="E8" s="120">
        <v>1</v>
      </c>
      <c r="F8" s="129">
        <v>44</v>
      </c>
      <c r="G8" s="129">
        <f t="shared" si="0"/>
        <v>44</v>
      </c>
      <c r="H8" s="130">
        <v>5</v>
      </c>
      <c r="I8" s="130">
        <v>20</v>
      </c>
      <c r="J8" s="129">
        <f t="shared" si="1"/>
        <v>7.0400000000000009</v>
      </c>
    </row>
    <row r="9" spans="3:10" ht="16.5" x14ac:dyDescent="0.45">
      <c r="C9" s="24">
        <v>4</v>
      </c>
      <c r="D9" s="131" t="s">
        <v>269</v>
      </c>
      <c r="E9" s="89">
        <v>1</v>
      </c>
      <c r="F9" s="132">
        <v>37.700000000000003</v>
      </c>
      <c r="G9" s="132">
        <f t="shared" si="0"/>
        <v>37.700000000000003</v>
      </c>
      <c r="H9" s="133">
        <v>5</v>
      </c>
      <c r="I9" s="133">
        <v>20</v>
      </c>
      <c r="J9" s="132">
        <f t="shared" si="1"/>
        <v>6.032</v>
      </c>
    </row>
    <row r="10" spans="3:10" ht="16.5" x14ac:dyDescent="0.45">
      <c r="C10" s="24">
        <v>5</v>
      </c>
      <c r="D10" s="128" t="s">
        <v>273</v>
      </c>
      <c r="E10" s="120">
        <v>1</v>
      </c>
      <c r="F10" s="129">
        <v>26.59</v>
      </c>
      <c r="G10" s="129">
        <f t="shared" si="0"/>
        <v>26.59</v>
      </c>
      <c r="H10" s="130">
        <v>5</v>
      </c>
      <c r="I10" s="130">
        <v>20</v>
      </c>
      <c r="J10" s="129">
        <f t="shared" si="1"/>
        <v>4.2543999999999995</v>
      </c>
    </row>
    <row r="11" spans="3:10" ht="16.5" x14ac:dyDescent="0.45">
      <c r="C11" s="24">
        <v>6</v>
      </c>
      <c r="D11" s="131" t="s">
        <v>274</v>
      </c>
      <c r="E11" s="89">
        <v>1</v>
      </c>
      <c r="F11" s="132">
        <v>193.75</v>
      </c>
      <c r="G11" s="132">
        <f t="shared" si="0"/>
        <v>193.75</v>
      </c>
      <c r="H11" s="133">
        <v>5</v>
      </c>
      <c r="I11" s="133">
        <v>20</v>
      </c>
      <c r="J11" s="132">
        <f t="shared" si="1"/>
        <v>31</v>
      </c>
    </row>
    <row r="12" spans="3:10" ht="16.5" x14ac:dyDescent="0.45">
      <c r="C12" s="24">
        <v>7</v>
      </c>
      <c r="D12" s="128" t="s">
        <v>275</v>
      </c>
      <c r="E12" s="120">
        <v>1</v>
      </c>
      <c r="F12" s="129">
        <v>43.71</v>
      </c>
      <c r="G12" s="129">
        <f t="shared" si="0"/>
        <v>43.71</v>
      </c>
      <c r="H12" s="130">
        <v>5</v>
      </c>
      <c r="I12" s="130">
        <v>20</v>
      </c>
      <c r="J12" s="129">
        <f t="shared" si="1"/>
        <v>6.9936000000000007</v>
      </c>
    </row>
    <row r="13" spans="3:10" ht="16.5" x14ac:dyDescent="0.45">
      <c r="C13" s="24">
        <v>8</v>
      </c>
      <c r="D13" s="131" t="s">
        <v>276</v>
      </c>
      <c r="E13" s="134">
        <v>1</v>
      </c>
      <c r="F13" s="135">
        <v>9.6199999999999992</v>
      </c>
      <c r="G13" s="132">
        <f t="shared" si="0"/>
        <v>9.6199999999999992</v>
      </c>
      <c r="H13" s="136">
        <v>5</v>
      </c>
      <c r="I13" s="136">
        <v>20</v>
      </c>
      <c r="J13" s="132">
        <f t="shared" si="1"/>
        <v>1.5391999999999997</v>
      </c>
    </row>
    <row r="14" spans="3:10" ht="16.5" x14ac:dyDescent="0.45">
      <c r="C14" s="24">
        <v>9</v>
      </c>
      <c r="D14" s="128" t="s">
        <v>277</v>
      </c>
      <c r="E14" s="120">
        <v>1</v>
      </c>
      <c r="F14" s="129">
        <v>775.25</v>
      </c>
      <c r="G14" s="129">
        <f t="shared" si="0"/>
        <v>775.25</v>
      </c>
      <c r="H14" s="130">
        <v>5</v>
      </c>
      <c r="I14" s="130">
        <v>20</v>
      </c>
      <c r="J14" s="129">
        <f t="shared" si="1"/>
        <v>124.04</v>
      </c>
    </row>
    <row r="15" spans="3:10" ht="16.5" x14ac:dyDescent="0.45">
      <c r="C15" s="24">
        <v>10</v>
      </c>
      <c r="D15" s="131" t="s">
        <v>278</v>
      </c>
      <c r="E15" s="89">
        <v>1</v>
      </c>
      <c r="F15" s="132">
        <v>272.32</v>
      </c>
      <c r="G15" s="132">
        <f t="shared" si="0"/>
        <v>272.32</v>
      </c>
      <c r="H15" s="133">
        <v>5</v>
      </c>
      <c r="I15" s="133">
        <v>20</v>
      </c>
      <c r="J15" s="132">
        <f t="shared" si="1"/>
        <v>43.571199999999997</v>
      </c>
    </row>
    <row r="16" spans="3:10" ht="16.5" x14ac:dyDescent="0.45">
      <c r="C16" s="24">
        <v>11</v>
      </c>
      <c r="D16" s="128" t="s">
        <v>279</v>
      </c>
      <c r="E16" s="120">
        <v>1</v>
      </c>
      <c r="F16" s="129">
        <v>247.24</v>
      </c>
      <c r="G16" s="129">
        <f t="shared" si="0"/>
        <v>247.24</v>
      </c>
      <c r="H16" s="130">
        <v>5</v>
      </c>
      <c r="I16" s="130">
        <v>20</v>
      </c>
      <c r="J16" s="129">
        <f t="shared" si="1"/>
        <v>39.558399999999999</v>
      </c>
    </row>
    <row r="17" spans="3:10" ht="16.5" x14ac:dyDescent="0.45">
      <c r="C17" s="24">
        <v>12</v>
      </c>
      <c r="D17" s="131" t="s">
        <v>280</v>
      </c>
      <c r="E17" s="89">
        <v>1</v>
      </c>
      <c r="F17" s="132">
        <v>50.63</v>
      </c>
      <c r="G17" s="132">
        <f t="shared" si="0"/>
        <v>50.63</v>
      </c>
      <c r="H17" s="133">
        <v>5</v>
      </c>
      <c r="I17" s="133">
        <v>20</v>
      </c>
      <c r="J17" s="132">
        <f t="shared" si="1"/>
        <v>8.1007999999999996</v>
      </c>
    </row>
    <row r="18" spans="3:10" ht="16.5" x14ac:dyDescent="0.45">
      <c r="C18" s="24">
        <v>13</v>
      </c>
      <c r="D18" s="128" t="s">
        <v>281</v>
      </c>
      <c r="E18" s="120">
        <v>1</v>
      </c>
      <c r="F18" s="129">
        <v>148.57</v>
      </c>
      <c r="G18" s="129">
        <f t="shared" si="0"/>
        <v>148.57</v>
      </c>
      <c r="H18" s="130">
        <v>5</v>
      </c>
      <c r="I18" s="130">
        <v>20</v>
      </c>
      <c r="J18" s="129">
        <f t="shared" si="1"/>
        <v>23.771199999999997</v>
      </c>
    </row>
    <row r="19" spans="3:10" ht="16.5" x14ac:dyDescent="0.45">
      <c r="C19" s="24">
        <v>14</v>
      </c>
      <c r="D19" s="131" t="s">
        <v>282</v>
      </c>
      <c r="E19" s="89">
        <v>1</v>
      </c>
      <c r="F19" s="132">
        <v>2840</v>
      </c>
      <c r="G19" s="132">
        <f t="shared" si="0"/>
        <v>2840</v>
      </c>
      <c r="H19" s="133">
        <v>5</v>
      </c>
      <c r="I19" s="133">
        <v>20</v>
      </c>
      <c r="J19" s="132">
        <f t="shared" si="1"/>
        <v>454.4</v>
      </c>
    </row>
    <row r="20" spans="3:10" ht="16.5" x14ac:dyDescent="0.45">
      <c r="C20" s="24">
        <v>15</v>
      </c>
      <c r="D20" s="128" t="s">
        <v>283</v>
      </c>
      <c r="E20" s="120">
        <v>1</v>
      </c>
      <c r="F20" s="129">
        <v>594.70000000000005</v>
      </c>
      <c r="G20" s="129">
        <f t="shared" si="0"/>
        <v>594.70000000000005</v>
      </c>
      <c r="H20" s="130">
        <v>5</v>
      </c>
      <c r="I20" s="130">
        <v>20</v>
      </c>
      <c r="J20" s="129">
        <f t="shared" si="1"/>
        <v>95.152000000000001</v>
      </c>
    </row>
    <row r="21" spans="3:10" ht="16.5" x14ac:dyDescent="0.45">
      <c r="C21" s="24">
        <v>16</v>
      </c>
      <c r="D21" s="131" t="s">
        <v>284</v>
      </c>
      <c r="E21" s="89">
        <v>1</v>
      </c>
      <c r="F21" s="132">
        <v>212.54</v>
      </c>
      <c r="G21" s="132">
        <f t="shared" si="0"/>
        <v>212.54</v>
      </c>
      <c r="H21" s="133">
        <v>5</v>
      </c>
      <c r="I21" s="133">
        <v>20</v>
      </c>
      <c r="J21" s="132">
        <f t="shared" si="1"/>
        <v>34.006399999999999</v>
      </c>
    </row>
    <row r="22" spans="3:10" ht="16.5" x14ac:dyDescent="0.45">
      <c r="C22" s="24">
        <v>17</v>
      </c>
      <c r="D22" s="128" t="s">
        <v>285</v>
      </c>
      <c r="E22" s="120">
        <v>1</v>
      </c>
      <c r="F22" s="129">
        <v>17.7</v>
      </c>
      <c r="G22" s="129">
        <f t="shared" si="0"/>
        <v>17.7</v>
      </c>
      <c r="H22" s="130">
        <v>5</v>
      </c>
      <c r="I22" s="130">
        <v>20</v>
      </c>
      <c r="J22" s="129">
        <f t="shared" si="1"/>
        <v>2.8319999999999999</v>
      </c>
    </row>
    <row r="23" spans="3:10" ht="16.5" x14ac:dyDescent="0.45">
      <c r="C23" s="24">
        <v>18</v>
      </c>
      <c r="D23" s="131" t="s">
        <v>286</v>
      </c>
      <c r="E23" s="89">
        <v>1</v>
      </c>
      <c r="F23" s="132">
        <v>8.9</v>
      </c>
      <c r="G23" s="132">
        <f t="shared" si="0"/>
        <v>8.9</v>
      </c>
      <c r="H23" s="133">
        <v>5</v>
      </c>
      <c r="I23" s="133">
        <v>20</v>
      </c>
      <c r="J23" s="132">
        <f t="shared" si="1"/>
        <v>1.4239999999999999</v>
      </c>
    </row>
    <row r="24" spans="3:10" ht="16.5" x14ac:dyDescent="0.45">
      <c r="C24" s="24">
        <v>19</v>
      </c>
      <c r="D24" s="128" t="s">
        <v>287</v>
      </c>
      <c r="E24" s="120">
        <v>1</v>
      </c>
      <c r="F24" s="129">
        <v>111.01</v>
      </c>
      <c r="G24" s="129">
        <f t="shared" ref="G24:G31" si="2">E24*F24</f>
        <v>111.01</v>
      </c>
      <c r="H24" s="130">
        <v>5</v>
      </c>
      <c r="I24" s="130">
        <v>20</v>
      </c>
      <c r="J24" s="129">
        <f t="shared" ref="J24:J31" si="3">(((G24*(100-I24)/100)/H24))</f>
        <v>17.761600000000001</v>
      </c>
    </row>
    <row r="25" spans="3:10" ht="16.5" x14ac:dyDescent="0.45">
      <c r="C25" s="24">
        <v>20</v>
      </c>
      <c r="D25" s="131" t="s">
        <v>288</v>
      </c>
      <c r="E25" s="89">
        <v>1</v>
      </c>
      <c r="F25" s="132">
        <v>24.04</v>
      </c>
      <c r="G25" s="132">
        <f t="shared" si="2"/>
        <v>24.04</v>
      </c>
      <c r="H25" s="133">
        <v>5</v>
      </c>
      <c r="I25" s="133">
        <v>20</v>
      </c>
      <c r="J25" s="132">
        <f t="shared" si="3"/>
        <v>3.8464</v>
      </c>
    </row>
    <row r="26" spans="3:10" ht="16.5" x14ac:dyDescent="0.45">
      <c r="C26" s="24">
        <v>21</v>
      </c>
      <c r="D26" s="128" t="s">
        <v>289</v>
      </c>
      <c r="E26" s="120">
        <v>1</v>
      </c>
      <c r="F26" s="129">
        <v>24.18</v>
      </c>
      <c r="G26" s="129">
        <f t="shared" si="2"/>
        <v>24.18</v>
      </c>
      <c r="H26" s="130">
        <v>5</v>
      </c>
      <c r="I26" s="130">
        <v>20</v>
      </c>
      <c r="J26" s="129">
        <f t="shared" si="3"/>
        <v>3.8688000000000002</v>
      </c>
    </row>
    <row r="27" spans="3:10" ht="16.5" x14ac:dyDescent="0.45">
      <c r="C27" s="24">
        <v>22</v>
      </c>
      <c r="D27" s="131" t="s">
        <v>290</v>
      </c>
      <c r="E27" s="89">
        <v>1</v>
      </c>
      <c r="F27" s="132">
        <v>1365.83</v>
      </c>
      <c r="G27" s="132">
        <f t="shared" si="2"/>
        <v>1365.83</v>
      </c>
      <c r="H27" s="133">
        <v>5</v>
      </c>
      <c r="I27" s="133">
        <v>20</v>
      </c>
      <c r="J27" s="132">
        <f t="shared" si="3"/>
        <v>218.53280000000001</v>
      </c>
    </row>
    <row r="28" spans="3:10" ht="16.5" x14ac:dyDescent="0.45">
      <c r="C28" s="24">
        <v>23</v>
      </c>
      <c r="D28" s="128" t="s">
        <v>291</v>
      </c>
      <c r="E28" s="120">
        <v>1</v>
      </c>
      <c r="F28" s="129">
        <v>265.69</v>
      </c>
      <c r="G28" s="129">
        <f t="shared" si="2"/>
        <v>265.69</v>
      </c>
      <c r="H28" s="130">
        <v>5</v>
      </c>
      <c r="I28" s="130">
        <v>20</v>
      </c>
      <c r="J28" s="129">
        <f t="shared" si="3"/>
        <v>42.510400000000004</v>
      </c>
    </row>
    <row r="29" spans="3:10" ht="16.5" x14ac:dyDescent="0.45">
      <c r="C29" s="24">
        <v>24</v>
      </c>
      <c r="D29" s="131" t="s">
        <v>292</v>
      </c>
      <c r="E29" s="89">
        <v>1</v>
      </c>
      <c r="F29" s="132">
        <v>1016.01</v>
      </c>
      <c r="G29" s="132">
        <f t="shared" si="2"/>
        <v>1016.01</v>
      </c>
      <c r="H29" s="133">
        <v>5</v>
      </c>
      <c r="I29" s="133">
        <v>20</v>
      </c>
      <c r="J29" s="132">
        <f t="shared" si="3"/>
        <v>162.5616</v>
      </c>
    </row>
    <row r="30" spans="3:10" ht="16.5" x14ac:dyDescent="0.45">
      <c r="C30" s="24">
        <v>25</v>
      </c>
      <c r="D30" s="128" t="s">
        <v>293</v>
      </c>
      <c r="E30" s="120">
        <v>1</v>
      </c>
      <c r="F30" s="129">
        <v>471.64</v>
      </c>
      <c r="G30" s="129">
        <f t="shared" si="2"/>
        <v>471.64</v>
      </c>
      <c r="H30" s="130">
        <v>5</v>
      </c>
      <c r="I30" s="130">
        <v>20</v>
      </c>
      <c r="J30" s="129">
        <f t="shared" si="3"/>
        <v>75.462399999999988</v>
      </c>
    </row>
    <row r="31" spans="3:10" ht="16.5" x14ac:dyDescent="0.45">
      <c r="C31" s="24">
        <v>26</v>
      </c>
      <c r="D31" s="131" t="s">
        <v>294</v>
      </c>
      <c r="E31" s="89">
        <v>1</v>
      </c>
      <c r="F31" s="132">
        <v>325.92</v>
      </c>
      <c r="G31" s="132">
        <f t="shared" si="2"/>
        <v>325.92</v>
      </c>
      <c r="H31" s="133">
        <v>5</v>
      </c>
      <c r="I31" s="133">
        <v>20</v>
      </c>
      <c r="J31" s="132">
        <f t="shared" si="3"/>
        <v>52.147200000000012</v>
      </c>
    </row>
    <row r="32" spans="3:10" ht="16.5" x14ac:dyDescent="0.45">
      <c r="C32" s="24">
        <v>27</v>
      </c>
      <c r="D32" s="131" t="s">
        <v>295</v>
      </c>
      <c r="E32" s="89">
        <v>1</v>
      </c>
      <c r="F32" s="132">
        <v>51.29</v>
      </c>
      <c r="G32" s="132">
        <f t="shared" si="0"/>
        <v>51.29</v>
      </c>
      <c r="H32" s="133">
        <v>5</v>
      </c>
      <c r="I32" s="133">
        <v>20</v>
      </c>
      <c r="J32" s="132">
        <f t="shared" si="1"/>
        <v>8.2063999999999986</v>
      </c>
    </row>
    <row r="33" spans="3:10" ht="16.5" x14ac:dyDescent="0.45">
      <c r="C33" s="24">
        <v>28</v>
      </c>
      <c r="D33" s="128" t="s">
        <v>296</v>
      </c>
      <c r="E33" s="120">
        <v>1</v>
      </c>
      <c r="F33" s="129">
        <v>16.45</v>
      </c>
      <c r="G33" s="129">
        <f>F33*E33</f>
        <v>16.45</v>
      </c>
      <c r="H33" s="130">
        <v>5</v>
      </c>
      <c r="I33" s="130">
        <v>20</v>
      </c>
      <c r="J33" s="132">
        <f t="shared" si="1"/>
        <v>2.6320000000000001</v>
      </c>
    </row>
    <row r="34" spans="3:10" ht="16.5" x14ac:dyDescent="0.45">
      <c r="C34" s="24">
        <v>29</v>
      </c>
      <c r="D34" s="131" t="s">
        <v>297</v>
      </c>
      <c r="E34" s="134">
        <v>1</v>
      </c>
      <c r="F34" s="135">
        <v>740.46</v>
      </c>
      <c r="G34" s="132">
        <f t="shared" ref="G34:G37" si="4">F34*E34</f>
        <v>740.46</v>
      </c>
      <c r="H34" s="136">
        <v>5</v>
      </c>
      <c r="I34" s="136">
        <v>20</v>
      </c>
      <c r="J34" s="132">
        <f t="shared" si="1"/>
        <v>118.4736</v>
      </c>
    </row>
    <row r="35" spans="3:10" ht="16.5" x14ac:dyDescent="0.45">
      <c r="C35" s="24">
        <v>30</v>
      </c>
      <c r="D35" s="131" t="s">
        <v>298</v>
      </c>
      <c r="E35" s="89">
        <v>1</v>
      </c>
      <c r="F35" s="132">
        <v>3905</v>
      </c>
      <c r="G35" s="132">
        <f t="shared" si="4"/>
        <v>3905</v>
      </c>
      <c r="H35" s="133">
        <v>5</v>
      </c>
      <c r="I35" s="133">
        <v>20</v>
      </c>
      <c r="J35" s="132">
        <f t="shared" si="1"/>
        <v>624.79999999999995</v>
      </c>
    </row>
    <row r="36" spans="3:10" ht="16.5" x14ac:dyDescent="0.45">
      <c r="C36" s="24">
        <v>31</v>
      </c>
      <c r="D36" s="128" t="s">
        <v>299</v>
      </c>
      <c r="E36" s="120">
        <v>1</v>
      </c>
      <c r="F36" s="129">
        <v>201.41</v>
      </c>
      <c r="G36" s="129">
        <f t="shared" si="4"/>
        <v>201.41</v>
      </c>
      <c r="H36" s="130">
        <v>5</v>
      </c>
      <c r="I36" s="130">
        <v>20</v>
      </c>
      <c r="J36" s="132">
        <f t="shared" si="1"/>
        <v>32.2256</v>
      </c>
    </row>
    <row r="37" spans="3:10" ht="16.5" x14ac:dyDescent="0.45">
      <c r="C37" s="24">
        <v>32</v>
      </c>
      <c r="D37" s="131" t="s">
        <v>300</v>
      </c>
      <c r="E37" s="134">
        <v>1</v>
      </c>
      <c r="F37" s="135">
        <v>357.04</v>
      </c>
      <c r="G37" s="132">
        <f t="shared" si="4"/>
        <v>357.04</v>
      </c>
      <c r="H37" s="136">
        <v>5</v>
      </c>
      <c r="I37" s="136">
        <v>20</v>
      </c>
      <c r="J37" s="132">
        <f t="shared" si="1"/>
        <v>57.126400000000004</v>
      </c>
    </row>
    <row r="38" spans="3:10" ht="16.5" x14ac:dyDescent="0.25">
      <c r="C38" s="168" t="s">
        <v>152</v>
      </c>
      <c r="D38" s="168"/>
      <c r="E38" s="168"/>
      <c r="F38" s="168"/>
      <c r="G38" s="168"/>
      <c r="H38" s="168"/>
      <c r="I38" s="168"/>
      <c r="J38" s="139">
        <f>SUM(J6:J37)</f>
        <v>2424.3520000000003</v>
      </c>
    </row>
    <row r="39" spans="3:10" ht="16.5" x14ac:dyDescent="0.25">
      <c r="C39" s="168" t="s">
        <v>206</v>
      </c>
      <c r="D39" s="168"/>
      <c r="E39" s="168"/>
      <c r="F39" s="168"/>
      <c r="G39" s="168"/>
      <c r="H39" s="168"/>
      <c r="I39" s="168"/>
      <c r="J39" s="139">
        <f>J38/12</f>
        <v>202.02933333333337</v>
      </c>
    </row>
  </sheetData>
  <mergeCells count="2">
    <mergeCell ref="C38:I38"/>
    <mergeCell ref="C39:I3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318B-D890-45BE-9D8F-94BD742BF781}">
  <dimension ref="C3:G37"/>
  <sheetViews>
    <sheetView topLeftCell="A22" workbookViewId="0">
      <selection activeCell="D5" sqref="D5"/>
    </sheetView>
  </sheetViews>
  <sheetFormatPr defaultRowHeight="12.5" x14ac:dyDescent="0.25"/>
  <cols>
    <col min="4" max="4" width="104.36328125" bestFit="1" customWidth="1"/>
    <col min="7" max="7" width="11.81640625" bestFit="1" customWidth="1"/>
  </cols>
  <sheetData>
    <row r="3" spans="3:7" ht="16.5" x14ac:dyDescent="0.45">
      <c r="C3" s="117" t="s">
        <v>301</v>
      </c>
    </row>
    <row r="5" spans="3:7" ht="33" x14ac:dyDescent="0.25">
      <c r="C5" s="127" t="s">
        <v>200</v>
      </c>
      <c r="D5" s="127" t="s">
        <v>201</v>
      </c>
      <c r="E5" s="127" t="s">
        <v>202</v>
      </c>
      <c r="F5" s="127" t="s">
        <v>203</v>
      </c>
      <c r="G5" s="127" t="s">
        <v>207</v>
      </c>
    </row>
    <row r="6" spans="3:7" ht="16.5" x14ac:dyDescent="0.45">
      <c r="C6" s="24">
        <v>1</v>
      </c>
      <c r="D6" s="128" t="s">
        <v>302</v>
      </c>
      <c r="E6" s="120">
        <v>10</v>
      </c>
      <c r="F6" s="129">
        <v>11.88</v>
      </c>
      <c r="G6" s="129">
        <f t="shared" ref="G6:G34" si="0">E6*F6</f>
        <v>118.80000000000001</v>
      </c>
    </row>
    <row r="7" spans="3:7" ht="16.5" x14ac:dyDescent="0.45">
      <c r="C7" s="24">
        <v>2</v>
      </c>
      <c r="D7" s="131" t="s">
        <v>303</v>
      </c>
      <c r="E7" s="89">
        <v>10</v>
      </c>
      <c r="F7" s="132">
        <v>46.97</v>
      </c>
      <c r="G7" s="132">
        <f t="shared" si="0"/>
        <v>469.7</v>
      </c>
    </row>
    <row r="8" spans="3:7" ht="16.5" x14ac:dyDescent="0.45">
      <c r="C8" s="24">
        <v>3</v>
      </c>
      <c r="D8" s="128" t="s">
        <v>304</v>
      </c>
      <c r="E8" s="120">
        <v>10</v>
      </c>
      <c r="F8" s="129">
        <v>45.92</v>
      </c>
      <c r="G8" s="129">
        <f t="shared" si="0"/>
        <v>459.20000000000005</v>
      </c>
    </row>
    <row r="9" spans="3:7" ht="16.5" x14ac:dyDescent="0.45">
      <c r="C9" s="24">
        <v>4</v>
      </c>
      <c r="D9" s="131" t="s">
        <v>305</v>
      </c>
      <c r="E9" s="89">
        <v>10</v>
      </c>
      <c r="F9" s="132">
        <v>12.65</v>
      </c>
      <c r="G9" s="132">
        <f t="shared" si="0"/>
        <v>126.5</v>
      </c>
    </row>
    <row r="10" spans="3:7" ht="16.5" x14ac:dyDescent="0.45">
      <c r="C10" s="24">
        <v>5</v>
      </c>
      <c r="D10" s="128" t="s">
        <v>306</v>
      </c>
      <c r="E10" s="120">
        <v>5</v>
      </c>
      <c r="F10" s="129">
        <v>184.01</v>
      </c>
      <c r="G10" s="129">
        <f t="shared" si="0"/>
        <v>920.05</v>
      </c>
    </row>
    <row r="11" spans="3:7" ht="16.5" x14ac:dyDescent="0.45">
      <c r="C11" s="24">
        <v>6</v>
      </c>
      <c r="D11" s="131" t="s">
        <v>307</v>
      </c>
      <c r="E11" s="89">
        <v>12</v>
      </c>
      <c r="F11" s="132">
        <v>28.43</v>
      </c>
      <c r="G11" s="132">
        <f t="shared" si="0"/>
        <v>341.15999999999997</v>
      </c>
    </row>
    <row r="12" spans="3:7" ht="16.5" x14ac:dyDescent="0.45">
      <c r="C12" s="24">
        <v>7</v>
      </c>
      <c r="D12" s="128" t="s">
        <v>308</v>
      </c>
      <c r="E12" s="120">
        <v>30</v>
      </c>
      <c r="F12" s="129">
        <v>151.08000000000001</v>
      </c>
      <c r="G12" s="129">
        <f t="shared" si="0"/>
        <v>4532.4000000000005</v>
      </c>
    </row>
    <row r="13" spans="3:7" ht="16.5" x14ac:dyDescent="0.45">
      <c r="C13" s="24">
        <v>8</v>
      </c>
      <c r="D13" s="131" t="s">
        <v>309</v>
      </c>
      <c r="E13" s="134">
        <v>5</v>
      </c>
      <c r="F13" s="135">
        <v>7.57</v>
      </c>
      <c r="G13" s="132">
        <f t="shared" si="0"/>
        <v>37.85</v>
      </c>
    </row>
    <row r="14" spans="3:7" ht="16.5" x14ac:dyDescent="0.45">
      <c r="C14" s="24">
        <v>9</v>
      </c>
      <c r="D14" s="128" t="s">
        <v>310</v>
      </c>
      <c r="E14" s="137">
        <v>1</v>
      </c>
      <c r="F14" s="138">
        <v>183.15</v>
      </c>
      <c r="G14" s="129">
        <f t="shared" si="0"/>
        <v>183.15</v>
      </c>
    </row>
    <row r="15" spans="3:7" ht="16.5" x14ac:dyDescent="0.45">
      <c r="C15" s="24">
        <v>10</v>
      </c>
      <c r="D15" s="131" t="s">
        <v>311</v>
      </c>
      <c r="E15" s="134">
        <v>30</v>
      </c>
      <c r="F15" s="135">
        <v>24.56</v>
      </c>
      <c r="G15" s="132">
        <f t="shared" si="0"/>
        <v>736.8</v>
      </c>
    </row>
    <row r="16" spans="3:7" ht="16.5" x14ac:dyDescent="0.45">
      <c r="C16" s="24">
        <v>11</v>
      </c>
      <c r="D16" s="128" t="s">
        <v>312</v>
      </c>
      <c r="E16" s="137">
        <v>2</v>
      </c>
      <c r="F16" s="138">
        <v>9.6</v>
      </c>
      <c r="G16" s="129">
        <f t="shared" si="0"/>
        <v>19.2</v>
      </c>
    </row>
    <row r="17" spans="3:7" ht="16.5" x14ac:dyDescent="0.45">
      <c r="C17" s="24">
        <v>12</v>
      </c>
      <c r="D17" s="131" t="s">
        <v>313</v>
      </c>
      <c r="E17" s="134">
        <v>1</v>
      </c>
      <c r="F17" s="135">
        <v>32.950000000000003</v>
      </c>
      <c r="G17" s="132">
        <f t="shared" si="0"/>
        <v>32.950000000000003</v>
      </c>
    </row>
    <row r="18" spans="3:7" ht="16.5" x14ac:dyDescent="0.45">
      <c r="C18" s="24">
        <v>13</v>
      </c>
      <c r="D18" s="128" t="s">
        <v>314</v>
      </c>
      <c r="E18" s="137">
        <v>6</v>
      </c>
      <c r="F18" s="138">
        <v>0.69</v>
      </c>
      <c r="G18" s="129">
        <f t="shared" si="0"/>
        <v>4.1399999999999997</v>
      </c>
    </row>
    <row r="19" spans="3:7" ht="16.5" x14ac:dyDescent="0.45">
      <c r="C19" s="24">
        <v>14</v>
      </c>
      <c r="D19" s="131" t="s">
        <v>315</v>
      </c>
      <c r="E19" s="134">
        <v>5</v>
      </c>
      <c r="F19" s="135">
        <v>31.27</v>
      </c>
      <c r="G19" s="132">
        <f t="shared" si="0"/>
        <v>156.35</v>
      </c>
    </row>
    <row r="20" spans="3:7" ht="16.5" x14ac:dyDescent="0.45">
      <c r="C20" s="24">
        <v>15</v>
      </c>
      <c r="D20" s="128" t="s">
        <v>316</v>
      </c>
      <c r="E20" s="120">
        <v>8</v>
      </c>
      <c r="F20" s="129">
        <v>7.79</v>
      </c>
      <c r="G20" s="129">
        <f t="shared" si="0"/>
        <v>62.32</v>
      </c>
    </row>
    <row r="21" spans="3:7" ht="16.5" x14ac:dyDescent="0.45">
      <c r="C21" s="24">
        <v>16</v>
      </c>
      <c r="D21" s="131" t="s">
        <v>317</v>
      </c>
      <c r="E21" s="89">
        <v>8</v>
      </c>
      <c r="F21" s="132">
        <v>38.82</v>
      </c>
      <c r="G21" s="132">
        <f t="shared" si="0"/>
        <v>310.56</v>
      </c>
    </row>
    <row r="22" spans="3:7" ht="16.5" x14ac:dyDescent="0.45">
      <c r="C22" s="24">
        <v>17</v>
      </c>
      <c r="D22" s="128" t="s">
        <v>318</v>
      </c>
      <c r="E22" s="120">
        <v>20</v>
      </c>
      <c r="F22" s="129">
        <v>1.97</v>
      </c>
      <c r="G22" s="129">
        <f t="shared" si="0"/>
        <v>39.4</v>
      </c>
    </row>
    <row r="23" spans="3:7" ht="16.5" x14ac:dyDescent="0.45">
      <c r="C23" s="24">
        <v>18</v>
      </c>
      <c r="D23" s="131" t="s">
        <v>319</v>
      </c>
      <c r="E23" s="89">
        <v>5</v>
      </c>
      <c r="F23" s="132">
        <v>47.12</v>
      </c>
      <c r="G23" s="132">
        <f t="shared" si="0"/>
        <v>235.6</v>
      </c>
    </row>
    <row r="24" spans="3:7" ht="16.5" x14ac:dyDescent="0.45">
      <c r="C24" s="24">
        <v>19</v>
      </c>
      <c r="D24" s="128" t="s">
        <v>320</v>
      </c>
      <c r="E24" s="120">
        <v>1</v>
      </c>
      <c r="F24" s="129">
        <v>70.84</v>
      </c>
      <c r="G24" s="129">
        <f t="shared" si="0"/>
        <v>70.84</v>
      </c>
    </row>
    <row r="25" spans="3:7" ht="16.5" x14ac:dyDescent="0.45">
      <c r="C25" s="24">
        <v>20</v>
      </c>
      <c r="D25" s="131" t="s">
        <v>321</v>
      </c>
      <c r="E25" s="89">
        <v>1</v>
      </c>
      <c r="F25" s="132">
        <v>35.4</v>
      </c>
      <c r="G25" s="132">
        <f t="shared" si="0"/>
        <v>35.4</v>
      </c>
    </row>
    <row r="26" spans="3:7" ht="16.5" x14ac:dyDescent="0.45">
      <c r="C26" s="24">
        <v>21</v>
      </c>
      <c r="D26" s="128" t="s">
        <v>322</v>
      </c>
      <c r="E26" s="120">
        <v>2</v>
      </c>
      <c r="F26" s="129">
        <v>172.7</v>
      </c>
      <c r="G26" s="129">
        <f t="shared" si="0"/>
        <v>345.4</v>
      </c>
    </row>
    <row r="27" spans="3:7" ht="16.5" x14ac:dyDescent="0.45">
      <c r="C27" s="24">
        <v>22</v>
      </c>
      <c r="D27" s="131" t="s">
        <v>323</v>
      </c>
      <c r="E27" s="134">
        <v>2</v>
      </c>
      <c r="F27" s="135">
        <v>136.4</v>
      </c>
      <c r="G27" s="132">
        <f t="shared" si="0"/>
        <v>272.8</v>
      </c>
    </row>
    <row r="28" spans="3:7" ht="16.5" x14ac:dyDescent="0.45">
      <c r="C28" s="24">
        <v>23</v>
      </c>
      <c r="D28" s="128" t="s">
        <v>324</v>
      </c>
      <c r="E28" s="137">
        <v>1</v>
      </c>
      <c r="F28" s="138">
        <v>220.5</v>
      </c>
      <c r="G28" s="129">
        <f t="shared" si="0"/>
        <v>220.5</v>
      </c>
    </row>
    <row r="29" spans="3:7" ht="16.5" x14ac:dyDescent="0.45">
      <c r="C29" s="24">
        <v>24</v>
      </c>
      <c r="D29" s="131" t="s">
        <v>325</v>
      </c>
      <c r="E29" s="134">
        <v>5</v>
      </c>
      <c r="F29" s="135">
        <v>30.12</v>
      </c>
      <c r="G29" s="132">
        <f t="shared" si="0"/>
        <v>150.6</v>
      </c>
    </row>
    <row r="30" spans="3:7" ht="16.5" x14ac:dyDescent="0.45">
      <c r="C30" s="24">
        <v>25</v>
      </c>
      <c r="D30" s="128" t="s">
        <v>326</v>
      </c>
      <c r="E30" s="120">
        <v>2</v>
      </c>
      <c r="F30" s="129">
        <v>7.79</v>
      </c>
      <c r="G30" s="129">
        <f t="shared" si="0"/>
        <v>15.58</v>
      </c>
    </row>
    <row r="31" spans="3:7" ht="16.5" x14ac:dyDescent="0.45">
      <c r="C31" s="24">
        <v>26</v>
      </c>
      <c r="D31" s="131" t="s">
        <v>327</v>
      </c>
      <c r="E31" s="89">
        <v>2</v>
      </c>
      <c r="F31" s="132">
        <v>70</v>
      </c>
      <c r="G31" s="132">
        <f t="shared" si="0"/>
        <v>140</v>
      </c>
    </row>
    <row r="32" spans="3:7" ht="16.5" x14ac:dyDescent="0.45">
      <c r="C32" s="24">
        <v>27</v>
      </c>
      <c r="D32" s="128" t="s">
        <v>328</v>
      </c>
      <c r="E32" s="120">
        <v>12</v>
      </c>
      <c r="F32" s="129">
        <v>1.97</v>
      </c>
      <c r="G32" s="129">
        <f t="shared" si="0"/>
        <v>23.64</v>
      </c>
    </row>
    <row r="33" spans="3:7" ht="16.5" x14ac:dyDescent="0.45">
      <c r="C33" s="24">
        <v>28</v>
      </c>
      <c r="D33" s="131" t="s">
        <v>329</v>
      </c>
      <c r="E33" s="89">
        <v>4</v>
      </c>
      <c r="F33" s="132">
        <v>3.4</v>
      </c>
      <c r="G33" s="132">
        <f t="shared" si="0"/>
        <v>13.6</v>
      </c>
    </row>
    <row r="34" spans="3:7" ht="16.5" x14ac:dyDescent="0.45">
      <c r="C34" s="24">
        <v>29</v>
      </c>
      <c r="D34" s="128" t="s">
        <v>330</v>
      </c>
      <c r="E34" s="120">
        <v>2</v>
      </c>
      <c r="F34" s="129">
        <v>54.33</v>
      </c>
      <c r="G34" s="129">
        <f t="shared" si="0"/>
        <v>108.66</v>
      </c>
    </row>
    <row r="35" spans="3:7" ht="16.5" x14ac:dyDescent="0.25">
      <c r="C35" s="169" t="s">
        <v>152</v>
      </c>
      <c r="D35" s="170"/>
      <c r="E35" s="170"/>
      <c r="F35" s="171"/>
      <c r="G35" s="172">
        <f>SUM(G6:G34)</f>
        <v>10183.15</v>
      </c>
    </row>
    <row r="36" spans="3:7" ht="16.5" x14ac:dyDescent="0.25">
      <c r="C36" s="169" t="s">
        <v>211</v>
      </c>
      <c r="D36" s="170"/>
      <c r="E36" s="170"/>
      <c r="F36" s="171"/>
      <c r="G36" s="172">
        <f>G35/3</f>
        <v>3394.3833333333332</v>
      </c>
    </row>
    <row r="37" spans="3:7" ht="16.5" x14ac:dyDescent="0.25">
      <c r="C37" s="169" t="s">
        <v>206</v>
      </c>
      <c r="D37" s="170"/>
      <c r="E37" s="170"/>
      <c r="F37" s="171"/>
      <c r="G37" s="172">
        <f>G36/12</f>
        <v>282.86527777777775</v>
      </c>
    </row>
  </sheetData>
  <mergeCells count="3">
    <mergeCell ref="C35:F35"/>
    <mergeCell ref="C36:F36"/>
    <mergeCell ref="C37:F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126</vt:i4>
      </vt:variant>
    </vt:vector>
  </HeadingPairs>
  <TitlesOfParts>
    <vt:vector size="134" baseType="lpstr">
      <vt:lpstr>INSERÇÃO-DE-DADOS</vt:lpstr>
      <vt:lpstr>DADOS-ESTATISTICOS</vt:lpstr>
      <vt:lpstr>ENCARGOS-SOCIAIS-E-TRABALHISTAS</vt:lpstr>
      <vt:lpstr>POSTO 44 HORAS</vt:lpstr>
      <vt:lpstr>UNIFORME</vt:lpstr>
      <vt:lpstr>MATERIAIS</vt:lpstr>
      <vt:lpstr>EQUIPAMENTOS_FERRAMENTAS</vt:lpstr>
      <vt:lpstr>EPI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2025-03-25T04:29:38Z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