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614d196fa6c787/Área de Trabalho/MPF/NOVA CONTRATAÇÃO LIMPEZA E CONSERVAÇÃO/Planilhas/"/>
    </mc:Choice>
  </mc:AlternateContent>
  <xr:revisionPtr revIDLastSave="1" documentId="8_{BD6B8120-4033-452E-8994-BCA585CAA269}" xr6:coauthVersionLast="47" xr6:coauthVersionMax="47" xr10:uidLastSave="{F5DE9FB2-A024-4F87-9483-1C989257742E}"/>
  <bookViews>
    <workbookView xWindow="-110" yWindow="-110" windowWidth="19420" windowHeight="10300" tabRatio="500" firstSheet="3" activeTab="5" xr2:uid="{00000000-000D-0000-FFFF-FFFF00000000}"/>
  </bookViews>
  <sheets>
    <sheet name="INSERÇÃO-DE-DADOS" sheetId="1" r:id="rId1"/>
    <sheet name="DADOS-ESTATISTICOS" sheetId="2" r:id="rId2"/>
    <sheet name="ENCARGOS-SOCIAIS-E-TRABALHISTAS" sheetId="3" r:id="rId3"/>
    <sheet name="POSTO 44 HORAS" sheetId="4" r:id="rId4"/>
    <sheet name="UNIFORME" sheetId="5" r:id="rId5"/>
    <sheet name="EQUIPAMENTOS" sheetId="6" r:id="rId6"/>
  </sheets>
  <definedNames>
    <definedName name="ACORDO_COLETIVO">'INSERÇÃO-DE-DADOS'!$F$14</definedName>
    <definedName name="AL_1_A_SAL_BASE" localSheetId="3">'POSTO 44 HORAS'!$F$22</definedName>
    <definedName name="AL_1_B_ADIC_PERIC" localSheetId="3">'POSTO 44 HORAS'!$F$23</definedName>
    <definedName name="AL_1_C_ADIC_NOT" localSheetId="3">'POSTO 44 HORAS'!$F$24</definedName>
    <definedName name="AL_1_D_ADIC_NOT_RED" localSheetId="3">'POSTO 44 HORAS'!$F$25</definedName>
    <definedName name="AL_2_1_A_DEC_TERC" localSheetId="3">'POSTO 44 HORAS'!$F$34</definedName>
    <definedName name="AL_2_1_B_ADIC_FERIAS" localSheetId="3">'POSTO 44 HORAS'!$F$35</definedName>
    <definedName name="AL_2_2_FGTS" localSheetId="3">'POSTO 44 HORAS'!$F$46</definedName>
    <definedName name="AL_2_3_A_TRANSP" localSheetId="3">'POSTO 44 HORAS'!$F$50</definedName>
    <definedName name="AL_2_3_B_AUX_ALIMENT" localSheetId="3">'POSTO 44 HORAS'!$F$51</definedName>
    <definedName name="AL_2_3_C_OUTROS_BENEF" localSheetId="3">'POSTO 44 HORAS'!$F$52</definedName>
    <definedName name="AL_2_A_ATE_2_G_GPS" localSheetId="3">'POSTO 44 HORAS'!$F$39:$F$45</definedName>
    <definedName name="AL_6_A_CUSTOS_INDIRETOS" localSheetId="3">'POSTO 44 HORAS'!$F$92</definedName>
    <definedName name="AL_6_B_LUCRO" localSheetId="3">'POSTO 44 HORAS'!$F$93</definedName>
    <definedName name="AL_6_C_1_PIS" localSheetId="3">'POSTO 44 HORAS'!$F$95</definedName>
    <definedName name="AL_6_C_2_COFINS" localSheetId="3">'POSTO 44 HORAS'!$F$96</definedName>
    <definedName name="AL_6_C_3_ISS" localSheetId="3">'POSTO 44 HORAS'!$F$97</definedName>
    <definedName name="AL_6_C_TRIBUTOS" localSheetId="3">'POSTO 44 HORAS'!$F$94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" localSheetId="3">'POSTO 44 HORAS'!$F$30</definedName>
    <definedName name="MOD_2_ENCARGOS_BENEFICIOS" localSheetId="3">'POSTO 44 HORAS'!$F$36+'POSTO 44 HORAS'!$F$47+'POSTO 44 HORAS'!$F$56</definedName>
    <definedName name="MOD_3_PROVISAO_RESCISAO" localSheetId="3">'POSTO 44 HORAS'!$F$65</definedName>
    <definedName name="MOD_4_CUSTO_REPOSICAO" localSheetId="3">'POSTO 44 HORAS'!$F$76+'POSTO 44 HORAS'!$F$80</definedName>
    <definedName name="MOD_5_INSUMOS" localSheetId="3">'POSTO 44 HORAS'!$F$88</definedName>
    <definedName name="MOD_6_CUSTOS_IND_LUCRO_TRIB" localSheetId="3">'POSTO 44 HORAS'!$F$98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44 HORAS'!$E$65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'INSERÇÃO-DE-DADOS'!$F$52</definedName>
    <definedName name="PERC_TRIBUTOS" localSheetId="3">'POSTO 44 HORAS'!$E$94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44 HORAS'!$F$36</definedName>
    <definedName name="SUBMOD_2_2_GPS_FGTS" localSheetId="3">'POSTO 44 HORAS'!$F$47</definedName>
    <definedName name="SUBMOD_2_3_BENEFICIOS" localSheetId="3">'POSTO 44 HORAS'!$F$56</definedName>
    <definedName name="SUBMOD_4_1_SUBSTITUTO" localSheetId="3">'POSTO 44 HORAS'!$F$76</definedName>
    <definedName name="SUBMOD_4_2_INTRAJORNADA" localSheetId="3">'POSTO 44 HORAS'!$F$80</definedName>
    <definedName name="TEMPO_INTERVALO_REFEICAO">'INSERÇÃO-DE-DADOS'!$F$57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'INSERÇÃO-DE-DADOS'!$F$61</definedName>
    <definedName name="VALOR_TOTAL_EMPREGADO" localSheetId="3">'POSTO 44 HORAS'!$F$107</definedName>
    <definedName name="VALOR_TOTAL_POSTO" localSheetId="3">'POSTO 44 HORAS'!$F$108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5" l="1"/>
  <c r="F63" i="1"/>
  <c r="F5" i="5"/>
  <c r="F6" i="5"/>
  <c r="F7" i="5"/>
  <c r="F11" i="4"/>
  <c r="D5" i="4"/>
  <c r="F87" i="4"/>
  <c r="F85" i="4"/>
  <c r="F5" i="6"/>
  <c r="I5" i="6" s="1"/>
  <c r="F8" i="5"/>
  <c r="E97" i="4"/>
  <c r="E96" i="4"/>
  <c r="E95" i="4"/>
  <c r="E94" i="4"/>
  <c r="E93" i="4"/>
  <c r="E92" i="4"/>
  <c r="F79" i="4"/>
  <c r="F80" i="4" s="1"/>
  <c r="E75" i="4"/>
  <c r="C75" i="4"/>
  <c r="E72" i="4"/>
  <c r="E62" i="4"/>
  <c r="F55" i="4"/>
  <c r="F54" i="4"/>
  <c r="C54" i="4"/>
  <c r="F53" i="4"/>
  <c r="C53" i="4"/>
  <c r="C52" i="4"/>
  <c r="F51" i="4"/>
  <c r="E46" i="4"/>
  <c r="E45" i="4"/>
  <c r="E44" i="4"/>
  <c r="E43" i="4"/>
  <c r="E42" i="4"/>
  <c r="E41" i="4"/>
  <c r="E40" i="4"/>
  <c r="E39" i="4"/>
  <c r="E34" i="4"/>
  <c r="F29" i="4"/>
  <c r="C29" i="4"/>
  <c r="F28" i="4"/>
  <c r="C28" i="4"/>
  <c r="F27" i="4"/>
  <c r="C27" i="4"/>
  <c r="F26" i="4"/>
  <c r="F23" i="4"/>
  <c r="F22" i="4"/>
  <c r="F50" i="4" s="1"/>
  <c r="F56" i="4" s="1"/>
  <c r="F19" i="4"/>
  <c r="F17" i="4"/>
  <c r="D16" i="4"/>
  <c r="D15" i="4"/>
  <c r="E14" i="4"/>
  <c r="F12" i="4"/>
  <c r="F10" i="4"/>
  <c r="D9" i="4"/>
  <c r="F8" i="4"/>
  <c r="F6" i="4"/>
  <c r="D6" i="4"/>
  <c r="F2" i="4"/>
  <c r="B2" i="4"/>
  <c r="B1" i="4"/>
  <c r="E34" i="3"/>
  <c r="C34" i="3"/>
  <c r="E32" i="3"/>
  <c r="E31" i="3"/>
  <c r="E30" i="3"/>
  <c r="E71" i="4" s="1"/>
  <c r="E29" i="3"/>
  <c r="E70" i="4" s="1"/>
  <c r="E23" i="3"/>
  <c r="E25" i="3" s="1"/>
  <c r="E21" i="3"/>
  <c r="E20" i="3"/>
  <c r="E22" i="3" s="1"/>
  <c r="E17" i="3"/>
  <c r="E24" i="3" s="1"/>
  <c r="E6" i="3"/>
  <c r="E5" i="3"/>
  <c r="F39" i="2"/>
  <c r="F38" i="2"/>
  <c r="F31" i="2"/>
  <c r="E72" i="1"/>
  <c r="E71" i="1"/>
  <c r="E70" i="1"/>
  <c r="I6" i="6" l="1"/>
  <c r="I7" i="6" s="1"/>
  <c r="I8" i="6" s="1"/>
  <c r="F9" i="5"/>
  <c r="E63" i="4"/>
  <c r="E61" i="4"/>
  <c r="E64" i="4"/>
  <c r="F24" i="4"/>
  <c r="F30" i="4" s="1"/>
  <c r="F25" i="4"/>
  <c r="E59" i="4"/>
  <c r="E33" i="3"/>
  <c r="E60" i="4"/>
  <c r="E35" i="4"/>
  <c r="E73" i="4"/>
  <c r="F86" i="4" l="1"/>
  <c r="F61" i="1"/>
  <c r="F84" i="4" s="1"/>
  <c r="F34" i="4"/>
  <c r="F101" i="4"/>
  <c r="F35" i="4"/>
  <c r="E74" i="4"/>
  <c r="F88" i="4" l="1"/>
  <c r="F105" i="4" s="1"/>
  <c r="F36" i="4"/>
  <c r="F64" i="4" s="1"/>
  <c r="F43" i="4"/>
  <c r="F41" i="4"/>
  <c r="F39" i="4"/>
  <c r="F45" i="4"/>
  <c r="F40" i="4"/>
  <c r="F44" i="4"/>
  <c r="F61" i="4"/>
  <c r="F42" i="4"/>
  <c r="F60" i="4"/>
  <c r="F63" i="4"/>
  <c r="F46" i="4"/>
  <c r="F59" i="4" s="1"/>
  <c r="F47" i="4" l="1"/>
  <c r="F102" i="4" l="1"/>
  <c r="F62" i="4"/>
  <c r="F65" i="4" s="1"/>
  <c r="F103" i="4" l="1"/>
  <c r="F75" i="4"/>
  <c r="F72" i="4"/>
  <c r="F70" i="4"/>
  <c r="F74" i="4"/>
  <c r="F73" i="4"/>
  <c r="F71" i="4"/>
  <c r="F76" i="4" l="1"/>
  <c r="F104" i="4" s="1"/>
  <c r="F92" i="4"/>
  <c r="F93" i="4" l="1"/>
  <c r="F97" i="4" s="1"/>
  <c r="F96" i="4" l="1"/>
  <c r="F95" i="4"/>
  <c r="F94" i="4" l="1"/>
  <c r="F98" i="4" s="1"/>
  <c r="F106" i="4" s="1"/>
  <c r="F107" i="4" s="1"/>
  <c r="F109" i="4" s="1"/>
  <c r="F108" i="4" l="1"/>
</calcChain>
</file>

<file path=xl/sharedStrings.xml><?xml version="1.0" encoding="utf-8"?>
<sst xmlns="http://schemas.openxmlformats.org/spreadsheetml/2006/main" count="476" uniqueCount="224">
  <si>
    <t>RAMO: MINISTÉRIO PÚBLICO FEDERAL</t>
  </si>
  <si>
    <t>UNIDADE GESTORA (SIGLA): PR/AP</t>
  </si>
  <si>
    <t>DATA:</t>
  </si>
  <si>
    <t>XX/XX/2025</t>
  </si>
  <si>
    <t>CUSTOS REFERENTES AOS SERVIÇOS CONTRATADOS</t>
  </si>
  <si>
    <t>Dados referentes à licitação</t>
  </si>
  <si>
    <t>Nº do Processo</t>
  </si>
  <si>
    <t>Modalidade de Licitação nº (XX/AAAA)</t>
  </si>
  <si>
    <t>Pregão nº</t>
  </si>
  <si>
    <t>XX/2025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</si>
  <si>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</si>
  <si>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</si>
  <si>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</si>
  <si>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</si>
  <si>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</si>
  <si>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</si>
  <si>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</si>
  <si>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PRAP</t>
  </si>
  <si>
    <t>C</t>
  </si>
  <si>
    <t>Unidade da Federação</t>
  </si>
  <si>
    <t>AP</t>
  </si>
  <si>
    <t>D</t>
  </si>
  <si>
    <t>Acordo, Conv. ou Sentença Normativa em Dissídio Coletivo (01/2025)</t>
  </si>
  <si>
    <t>AP000003/2025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</si>
  <si>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</si>
  <si>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</si>
  <si>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</si>
  <si>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</si>
  <si>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</si>
  <si>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</si>
  <si>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</si>
  <si>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</si>
  <si>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Unid.</t>
  </si>
  <si>
    <t>Mão de obra</t>
  </si>
  <si>
    <t>Classificação Brasileira de Ocupações (CBO)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</si>
  <si>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</si>
  <si>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</si>
  <si>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</si>
  <si>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</si>
  <si>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</si>
  <si>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</si>
  <si>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</si>
  <si>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</si>
  <si>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</si>
  <si>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</si>
  <si>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</si>
  <si>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</si>
  <si>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</si>
  <si>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</si>
  <si>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</si>
  <si>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</si>
  <si>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</si>
  <si>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</si>
  <si>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</si>
  <si>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</si>
  <si>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</si>
  <si>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</si>
  <si>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</si>
  <si>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</si>
  <si>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</si>
  <si>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</si>
  <si>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</si>
  <si>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Benefício Social (CCT, Cláusula 15ª)</t>
  </si>
  <si>
    <t>Outros Benefícios 2</t>
  </si>
  <si>
    <t>Outros Benefícios 3</t>
  </si>
  <si>
    <t>Outros Benefícios 4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</si>
  <si>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</si>
  <si>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</si>
  <si>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</si>
  <si>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</si>
  <si>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</si>
  <si>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</si>
  <si>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</si>
  <si>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</si>
  <si>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</si>
  <si>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</si>
  <si>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</si>
  <si>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</si>
  <si>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</si>
  <si>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</si>
  <si>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</si>
  <si>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</si>
  <si>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</si>
  <si>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</si>
  <si>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</si>
  <si>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</si>
  <si>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</si>
  <si>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</si>
  <si>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</si>
  <si>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</si>
  <si>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</si>
  <si>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</si>
  <si>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</si>
  <si>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</si>
  <si>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</si>
  <si>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</si>
  <si>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</si>
  <si>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</si>
  <si>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</si>
  <si>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</si>
  <si>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</si>
  <si>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</si>
  <si>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</si>
  <si>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</si>
  <si>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</si>
  <si>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</si>
  <si>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</si>
  <si>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</si>
  <si>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</si>
  <si>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</si>
  <si>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</si>
  <si>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</si>
  <si>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</si>
  <si>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</si>
  <si>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</si>
  <si>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</si>
  <si>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</si>
  <si>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</si>
  <si>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</si>
  <si>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</si>
  <si>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</si>
  <si>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</si>
  <si>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</si>
  <si>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</si>
  <si>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</si>
  <si>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</si>
  <si>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</si>
  <si>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</si>
  <si>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</si>
  <si>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</si>
  <si>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</si>
  <si>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</si>
  <si>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</si>
  <si>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</si>
  <si>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</si>
  <si>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</si>
  <si>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</si>
  <si>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</si>
  <si>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</si>
  <si>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</si>
  <si>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</si>
  <si>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</si>
  <si>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</si>
  <si>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</si>
  <si>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</si>
  <si>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</si>
  <si>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</si>
  <si>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</si>
  <si>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</si>
  <si>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</si>
  <si>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</si>
  <si>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</si>
  <si>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</si>
  <si>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</si>
  <si>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</si>
  <si>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</si>
  <si>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</si>
  <si>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</si>
  <si>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</si>
  <si>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</si>
  <si>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</si>
  <si>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</si>
  <si>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</si>
  <si>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</si>
  <si>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</si>
  <si>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</si>
  <si>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</si>
  <si>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</si>
  <si>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</si>
  <si>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</si>
  <si>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</si>
  <si>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</si>
  <si>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</si>
  <si>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</si>
  <si>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</si>
  <si>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</si>
  <si>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</si>
  <si>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</si>
  <si>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</si>
  <si>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</si>
  <si>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</si>
  <si>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</si>
  <si>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</si>
  <si>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</si>
  <si>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</si>
  <si>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Abono de Férias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</si>
  <si>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</si>
  <si>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</si>
  <si>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</si>
  <si>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</si>
  <si>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</si>
  <si>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</si>
  <si>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</si>
  <si>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</si>
  <si>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</si>
  <si>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</si>
  <si>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</si>
  <si>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ITEM</t>
  </si>
  <si>
    <t>Descrição</t>
  </si>
  <si>
    <t>Qtde</t>
  </si>
  <si>
    <t>Valor Unitário</t>
  </si>
  <si>
    <t>Total</t>
  </si>
  <si>
    <t>TOTAL MENSAL POR FUNCIONÁRIO</t>
  </si>
  <si>
    <t>Valor Total</t>
  </si>
  <si>
    <t>Vida útil (anos)</t>
  </si>
  <si>
    <t>Valor Residual (%)</t>
  </si>
  <si>
    <t>Valor de depreciação anual</t>
  </si>
  <si>
    <t>Equipamentos/Ferramentas</t>
  </si>
  <si>
    <t>EPI</t>
  </si>
  <si>
    <t>1.22.000.000988/2024-16</t>
  </si>
  <si>
    <t>Limpeza e Conservação</t>
  </si>
  <si>
    <t>5143-20</t>
  </si>
  <si>
    <t>Servente de Limpeza</t>
  </si>
  <si>
    <t>Calça comprida em tecido brim, com bolsos dianteiros e traseiros</t>
  </si>
  <si>
    <t>Camisa de malha de manga curta em tecido 100% algodão</t>
  </si>
  <si>
    <t>Par de calçados fechado, antiderrapante, em couro ou material sintético similar ou emborrachado, com forração interna.</t>
  </si>
  <si>
    <t>Par de meias, em tecido 100% algodão.</t>
  </si>
  <si>
    <t>UNIFORME – SERVENTE</t>
  </si>
  <si>
    <t>Carro Funcional plástico com tampa, bolsa em vinil e acessórios, com balde/espremedor plástico de 2(duas) águas e espremedor em aço galvanizado com capacidade para 36 litros</t>
  </si>
  <si>
    <t>TOTAL MENSAL</t>
  </si>
  <si>
    <t>TOTAL MENSAL POR FUNCIONÁRIO (3)</t>
  </si>
  <si>
    <t>EQUIPAMENTOS – SERVENTE</t>
  </si>
  <si>
    <t>TOTAL P/ 24 MESES POR FUNCIONÁRIO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</si>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</sst>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#,##0.00_);\(#,##0.00\)"/>
    <numFmt numFmtId="166" formatCode="#,##0_);\(#,##0\)"/>
    <numFmt numFmtId="167" formatCode="#,##0.0"/>
    <numFmt numFmtId="168" formatCode="#,##0.00_ ;\-#,##0.00\ "/>
    <numFmt numFmtId="169" formatCode="[$R$-416]\ #,##0.00;[Red]\-[$R$-416]\ #,##0.00"/>
  </numFmts>
  <fonts count="19" x14ac:knownFonts="1"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  <font>
      <sz val="11"/>
      <color rgb="FF000000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2">
    <xf numFmtId="0" fontId="0" fillId="0" borderId="0"/>
    <xf numFmtId="0" fontId="1" fillId="0" borderId="1" applyProtection="0"/>
  </cellStyleXfs>
  <cellXfs count="161">
    <xf numFmtId="0" fontId="0" fillId="0" borderId="0" xfId="0"/>
    <xf numFmtId="0" fontId="2" fillId="4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3" fillId="4" borderId="3" xfId="0" applyFont="1" applyFill="1" applyBorder="1" applyAlignment="1">
      <alignment horizontal="right"/>
    </xf>
    <xf numFmtId="0" fontId="3" fillId="3" borderId="3" xfId="0" applyFont="1" applyFill="1" applyBorder="1" applyProtection="1">
      <protection locked="0"/>
    </xf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2" fillId="6" borderId="2" xfId="0" applyFont="1" applyFill="1" applyBorder="1"/>
    <xf numFmtId="0" fontId="2" fillId="4" borderId="2" xfId="0" applyFont="1" applyFill="1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6" fillId="5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0" applyFont="1" applyFill="1" applyBorder="1" applyAlignment="1">
      <alignment horizontal="center"/>
    </xf>
    <xf numFmtId="166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165" fontId="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65" fontId="2" fillId="3" borderId="2" xfId="0" applyNumberFormat="1" applyFont="1" applyFill="1" applyBorder="1" applyAlignment="1" applyProtection="1">
      <alignment vertical="center" wrapText="1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167" fontId="2" fillId="4" borderId="2" xfId="0" applyNumberFormat="1" applyFont="1" applyFill="1" applyBorder="1" applyAlignment="1">
      <alignment horizontal="right" vertical="center" wrapText="1"/>
    </xf>
    <xf numFmtId="167" fontId="2" fillId="6" borderId="2" xfId="0" applyNumberFormat="1" applyFont="1" applyFill="1" applyBorder="1" applyAlignment="1">
      <alignment horizontal="right" vertical="center" wrapText="1"/>
    </xf>
    <xf numFmtId="166" fontId="2" fillId="4" borderId="2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6" fontId="2" fillId="6" borderId="2" xfId="0" applyNumberFormat="1" applyFont="1" applyFill="1" applyBorder="1" applyAlignment="1">
      <alignment horizontal="right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3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/>
    <xf numFmtId="49" fontId="2" fillId="4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4" fontId="2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166" fontId="2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168" fontId="2" fillId="4" borderId="2" xfId="0" applyNumberFormat="1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6" borderId="2" xfId="0" applyNumberFormat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 shrinkToFit="1"/>
    </xf>
    <xf numFmtId="0" fontId="2" fillId="6" borderId="2" xfId="0" applyFont="1" applyFill="1" applyBorder="1" applyAlignment="1">
      <alignment horizontal="center" vertical="center"/>
    </xf>
    <xf numFmtId="169" fontId="2" fillId="6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wrapText="1" shrinkToFit="1"/>
    </xf>
    <xf numFmtId="169" fontId="2" fillId="4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 shrinkToFit="1"/>
    </xf>
    <xf numFmtId="0" fontId="2" fillId="4" borderId="2" xfId="0" applyFont="1" applyFill="1" applyBorder="1" applyAlignment="1">
      <alignment horizontal="left" wrapText="1" shrinkToFit="1"/>
    </xf>
    <xf numFmtId="169" fontId="6" fillId="5" borderId="2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169" fontId="2" fillId="6" borderId="2" xfId="0" applyNumberFormat="1" applyFont="1" applyFill="1" applyBorder="1" applyAlignment="1">
      <alignment horizontal="right" vertical="center"/>
    </xf>
    <xf numFmtId="169" fontId="6" fillId="5" borderId="4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  <xf numFmtId="0" fontId="2" fillId="6" borderId="6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0" fontId="6" fillId="5" borderId="2" xfId="0" applyFont="1" applyFill="1" applyBorder="1" applyAlignment="1">
      <alignment horizontal="left" vertical="center"/>
    </xf>
    <xf numFmtId="165" fontId="2" fillId="6" borderId="2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6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65" fontId="2" fillId="4" borderId="2" xfId="0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justify" vertical="center"/>
    </xf>
    <xf numFmtId="0" fontId="2" fillId="6" borderId="2" xfId="0" applyFont="1" applyFill="1" applyBorder="1" applyAlignment="1">
      <alignment horizontal="justify" vertical="center"/>
    </xf>
    <xf numFmtId="0" fontId="8" fillId="2" borderId="7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left" vertical="center" wrapText="1" indent="1"/>
    </xf>
    <xf numFmtId="0" fontId="16" fillId="6" borderId="2" xfId="0" applyFont="1" applyFill="1" applyBorder="1" applyAlignment="1">
      <alignment horizontal="left" vertical="center" wrapText="1" indent="1"/>
    </xf>
    <xf numFmtId="4" fontId="2" fillId="4" borderId="6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justify" vertical="center" wrapText="1"/>
    </xf>
    <xf numFmtId="0" fontId="2" fillId="6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wrapText="1"/>
    </xf>
    <xf numFmtId="3" fontId="2" fillId="6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opLeftCell="A55" zoomScaleNormal="100" workbookViewId="0">
      <selection activeCell="F64" sqref="F64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36" t="s">
        <v>0</v>
      </c>
      <c r="C1" s="136"/>
      <c r="D1" s="136"/>
      <c r="E1" s="136"/>
      <c r="F1" s="136"/>
    </row>
    <row r="2" spans="2:6" ht="21" x14ac:dyDescent="0.55000000000000004">
      <c r="B2" s="136" t="s">
        <v>1</v>
      </c>
      <c r="C2" s="136"/>
      <c r="D2" s="136"/>
      <c r="E2" s="4" t="s">
        <v>2</v>
      </c>
      <c r="F2" s="5" t="s">
        <v>3</v>
      </c>
    </row>
    <row r="3" spans="2:6" x14ac:dyDescent="0.45">
      <c r="B3" s="6"/>
      <c r="C3" s="6"/>
      <c r="D3" s="6"/>
      <c r="E3" s="6"/>
      <c r="F3" s="6"/>
    </row>
    <row r="4" spans="2:6" s="6" customFormat="1" ht="25" x14ac:dyDescent="0.7">
      <c r="B4" s="137" t="s">
        <v>4</v>
      </c>
      <c r="C4" s="137"/>
      <c r="D4" s="137"/>
      <c r="E4" s="137"/>
      <c r="F4" s="137"/>
    </row>
    <row r="5" spans="2:6" s="6" customFormat="1" ht="16" customHeight="1" x14ac:dyDescent="0.45">
      <c r="B5" s="130" t="s">
        <v>5</v>
      </c>
      <c r="C5" s="130"/>
      <c r="D5" s="130"/>
      <c r="E5" s="130"/>
      <c r="F5" s="130"/>
    </row>
    <row r="6" spans="2:6" s="6" customFormat="1" ht="16" customHeight="1" x14ac:dyDescent="0.45">
      <c r="B6" s="127" t="s">
        <v>6</v>
      </c>
      <c r="C6" s="127"/>
      <c r="D6" s="131" t="s">
        <v>209</v>
      </c>
      <c r="E6" s="131"/>
      <c r="F6" s="131"/>
    </row>
    <row r="7" spans="2:6" s="6" customFormat="1" ht="15.75" customHeight="1" x14ac:dyDescent="0.45">
      <c r="B7" s="128" t="s">
        <v>7</v>
      </c>
      <c r="C7" s="128"/>
      <c r="D7" s="134" t="s">
        <v>8</v>
      </c>
      <c r="E7" s="134"/>
      <c r="F7" s="2" t="s">
        <v>9</v>
      </c>
    </row>
    <row r="8" spans="2:6" s="6" customFormat="1" ht="15.75" customHeight="1" x14ac:dyDescent="0.45">
      <c r="B8" s="127" t="s">
        <v>10</v>
      </c>
      <c r="C8" s="127"/>
      <c r="D8" s="135" t="s">
        <v>3</v>
      </c>
      <c r="E8" s="135"/>
      <c r="F8" s="2" t="s">
        <v>11</v>
      </c>
    </row>
    <row r="9" spans="2:6" s="6" customFormat="1" ht="9.75" customHeight="1" x14ac:dyDescent="0.45">
      <c r="C9" s="7"/>
      <c r="D9" s="8"/>
      <c r="E9" s="8"/>
      <c r="F9" s="9"/>
    </row>
    <row r="10" spans="2:6" s="6" customFormat="1" ht="15.75" customHeight="1" x14ac:dyDescent="0.45">
      <c r="B10" s="130" t="s">
        <v>12</v>
      </c>
      <c r="C10" s="130"/>
      <c r="D10" s="130"/>
      <c r="E10" s="130"/>
      <c r="F10" s="130"/>
    </row>
    <row r="11" spans="2:6" s="6" customFormat="1" ht="18" customHeight="1" x14ac:dyDescent="0.45">
      <c r="B11" s="10" t="s">
        <v>13</v>
      </c>
      <c r="C11" s="127" t="s">
        <v>14</v>
      </c>
      <c r="D11" s="127"/>
      <c r="E11" s="127"/>
      <c r="F11" s="11" t="s">
        <v>3</v>
      </c>
    </row>
    <row r="12" spans="2:6" s="6" customFormat="1" ht="16" customHeight="1" x14ac:dyDescent="0.3">
      <c r="B12" s="12" t="s">
        <v>15</v>
      </c>
      <c r="C12" s="13" t="s">
        <v>16</v>
      </c>
      <c r="D12" s="133" t="s">
        <v>17</v>
      </c>
      <c r="E12" s="133"/>
      <c r="F12" s="133"/>
    </row>
    <row r="13" spans="2:6" s="6" customFormat="1" ht="16" customHeight="1" x14ac:dyDescent="0.45">
      <c r="B13" s="10" t="s">
        <v>18</v>
      </c>
      <c r="C13" s="127" t="s">
        <v>19</v>
      </c>
      <c r="D13" s="127"/>
      <c r="E13" s="127"/>
      <c r="F13" s="14" t="s">
        <v>20</v>
      </c>
    </row>
    <row r="14" spans="2:6" s="6" customFormat="1" ht="18.75" customHeight="1" x14ac:dyDescent="0.45">
      <c r="B14" s="12" t="s">
        <v>21</v>
      </c>
      <c r="C14" s="115" t="s">
        <v>22</v>
      </c>
      <c r="D14" s="115"/>
      <c r="E14" s="115"/>
      <c r="F14" s="2" t="s">
        <v>23</v>
      </c>
    </row>
    <row r="15" spans="2:6" s="6" customFormat="1" ht="16" customHeight="1" x14ac:dyDescent="0.45">
      <c r="B15" s="12" t="s">
        <v>24</v>
      </c>
      <c r="C15" s="127" t="s">
        <v>25</v>
      </c>
      <c r="D15" s="127"/>
      <c r="E15" s="127"/>
      <c r="F15" s="15">
        <v>24</v>
      </c>
    </row>
    <row r="16" spans="2:6" s="6" customFormat="1" ht="16" customHeight="1" x14ac:dyDescent="0.45">
      <c r="C16" s="7"/>
      <c r="D16" s="8"/>
      <c r="E16" s="8"/>
      <c r="F16" s="9"/>
    </row>
    <row r="17" spans="2:6" s="6" customFormat="1" x14ac:dyDescent="0.45">
      <c r="B17" s="130" t="s">
        <v>26</v>
      </c>
      <c r="C17" s="130"/>
      <c r="D17" s="130"/>
      <c r="E17" s="130"/>
      <c r="F17" s="130"/>
    </row>
    <row r="18" spans="2:6" s="16" customFormat="1" ht="49.5" x14ac:dyDescent="0.25">
      <c r="B18" s="17" t="s">
        <v>27</v>
      </c>
      <c r="C18" s="17" t="s">
        <v>28</v>
      </c>
      <c r="D18" s="18" t="s">
        <v>29</v>
      </c>
      <c r="E18" s="18" t="s">
        <v>30</v>
      </c>
      <c r="F18" s="18" t="s">
        <v>31</v>
      </c>
    </row>
    <row r="19" spans="2:6" s="6" customFormat="1" ht="16.5" customHeight="1" x14ac:dyDescent="0.45">
      <c r="B19" s="10">
        <v>1</v>
      </c>
      <c r="C19" s="19" t="s">
        <v>210</v>
      </c>
      <c r="D19" s="20" t="s">
        <v>32</v>
      </c>
      <c r="E19" s="21">
        <v>1</v>
      </c>
      <c r="F19" s="20">
        <v>3</v>
      </c>
    </row>
    <row r="20" spans="2:6" s="6" customFormat="1" ht="16" customHeight="1" x14ac:dyDescent="0.45">
      <c r="B20" s="22"/>
      <c r="C20" s="22"/>
      <c r="D20" s="22"/>
      <c r="E20" s="22"/>
      <c r="F20" s="22"/>
    </row>
    <row r="21" spans="2:6" s="6" customFormat="1" ht="15" customHeight="1" x14ac:dyDescent="0.45">
      <c r="B21" s="130" t="s">
        <v>33</v>
      </c>
      <c r="C21" s="130"/>
      <c r="D21" s="130"/>
      <c r="E21" s="130"/>
      <c r="F21" s="130"/>
    </row>
    <row r="22" spans="2:6" s="6" customFormat="1" ht="15" customHeight="1" x14ac:dyDescent="0.45">
      <c r="B22" s="10">
        <v>1</v>
      </c>
      <c r="C22" s="23" t="s">
        <v>34</v>
      </c>
      <c r="D22" s="131" t="s">
        <v>211</v>
      </c>
      <c r="E22" s="131"/>
      <c r="F22" s="131"/>
    </row>
    <row r="23" spans="2:6" s="6" customFormat="1" ht="23" customHeight="1" x14ac:dyDescent="0.45">
      <c r="B23" s="10">
        <v>2</v>
      </c>
      <c r="C23" s="24" t="s">
        <v>35</v>
      </c>
      <c r="D23" s="132" t="s">
        <v>212</v>
      </c>
      <c r="E23" s="132"/>
      <c r="F23" s="132"/>
    </row>
    <row r="24" spans="2:6" s="6" customFormat="1" ht="16" customHeight="1" x14ac:dyDescent="0.45">
      <c r="B24" s="10">
        <v>3</v>
      </c>
      <c r="C24" s="127" t="s">
        <v>36</v>
      </c>
      <c r="D24" s="127"/>
      <c r="E24" s="127"/>
      <c r="F24" s="11">
        <v>45658</v>
      </c>
    </row>
    <row r="25" spans="2:6" s="6" customFormat="1" ht="16" customHeight="1" x14ac:dyDescent="0.45">
      <c r="B25" s="10">
        <v>4</v>
      </c>
      <c r="C25" s="128" t="s">
        <v>37</v>
      </c>
      <c r="D25" s="128"/>
      <c r="E25" s="128"/>
      <c r="F25" s="25">
        <v>1518</v>
      </c>
    </row>
    <row r="26" spans="2:6" s="6" customFormat="1" x14ac:dyDescent="0.45">
      <c r="B26" s="26"/>
      <c r="C26" s="27"/>
      <c r="D26" s="27"/>
      <c r="E26" s="27"/>
      <c r="F26" s="28"/>
    </row>
    <row r="27" spans="2:6" s="6" customFormat="1" ht="25" x14ac:dyDescent="0.7">
      <c r="B27" s="29" t="s">
        <v>38</v>
      </c>
      <c r="C27" s="3"/>
      <c r="D27" s="3"/>
      <c r="E27" s="3"/>
      <c r="F27" s="3"/>
    </row>
    <row r="28" spans="2:6" x14ac:dyDescent="0.45">
      <c r="B28" s="30" t="s">
        <v>39</v>
      </c>
      <c r="E28" s="31"/>
      <c r="F28" s="31"/>
    </row>
    <row r="29" spans="2:6" ht="16.5" customHeight="1" x14ac:dyDescent="0.45">
      <c r="B29" s="12">
        <v>1</v>
      </c>
      <c r="C29" s="125" t="s">
        <v>40</v>
      </c>
      <c r="D29" s="125"/>
      <c r="E29" s="125"/>
      <c r="F29" s="32" t="s">
        <v>41</v>
      </c>
    </row>
    <row r="30" spans="2:6" ht="16.399999999999999" customHeight="1" x14ac:dyDescent="0.45">
      <c r="B30" s="12" t="s">
        <v>13</v>
      </c>
      <c r="C30" s="122" t="s">
        <v>42</v>
      </c>
      <c r="D30" s="122"/>
      <c r="E30" s="122"/>
      <c r="F30" s="33">
        <v>1544.6</v>
      </c>
    </row>
    <row r="31" spans="2:6" ht="16.5" customHeight="1" x14ac:dyDescent="0.45">
      <c r="B31" s="12" t="s">
        <v>15</v>
      </c>
      <c r="C31" s="115" t="s">
        <v>43</v>
      </c>
      <c r="D31" s="115"/>
      <c r="E31" s="115"/>
      <c r="F31" s="34"/>
    </row>
    <row r="32" spans="2:6" ht="16.5" customHeight="1" x14ac:dyDescent="0.45">
      <c r="B32" s="12" t="s">
        <v>18</v>
      </c>
      <c r="C32" s="122" t="s">
        <v>44</v>
      </c>
      <c r="D32" s="122"/>
      <c r="E32" s="122"/>
      <c r="F32" s="34"/>
    </row>
    <row r="33" spans="1:6" ht="16.5" customHeight="1" x14ac:dyDescent="0.45">
      <c r="B33" s="12" t="s">
        <v>21</v>
      </c>
      <c r="C33" s="129" t="s">
        <v>45</v>
      </c>
      <c r="D33" s="129"/>
      <c r="E33" s="129"/>
      <c r="F33" s="34"/>
    </row>
    <row r="34" spans="1:6" ht="16.5" customHeight="1" x14ac:dyDescent="0.45">
      <c r="B34" s="12" t="s">
        <v>24</v>
      </c>
      <c r="C34" s="119" t="s">
        <v>46</v>
      </c>
      <c r="D34" s="119"/>
      <c r="E34" s="119"/>
      <c r="F34" s="33"/>
    </row>
    <row r="35" spans="1:6" ht="16.5" customHeight="1" x14ac:dyDescent="0.45">
      <c r="B35" s="12" t="s">
        <v>47</v>
      </c>
      <c r="C35" s="119" t="s">
        <v>48</v>
      </c>
      <c r="D35" s="119"/>
      <c r="E35" s="119"/>
      <c r="F35" s="33"/>
    </row>
    <row r="36" spans="1:6" ht="16.5" customHeight="1" x14ac:dyDescent="0.45">
      <c r="B36" s="12" t="s">
        <v>49</v>
      </c>
      <c r="C36" s="119" t="s">
        <v>50</v>
      </c>
      <c r="D36" s="119"/>
      <c r="E36" s="119"/>
      <c r="F36" s="33"/>
    </row>
    <row r="37" spans="1:6" s="35" customFormat="1" x14ac:dyDescent="0.45"/>
    <row r="38" spans="1:6" s="35" customFormat="1" x14ac:dyDescent="0.45">
      <c r="A38" s="3"/>
      <c r="B38" s="30" t="s">
        <v>51</v>
      </c>
      <c r="C38" s="3"/>
      <c r="D38" s="3"/>
      <c r="E38" s="36"/>
      <c r="F38" s="36"/>
    </row>
    <row r="39" spans="1:6" s="35" customFormat="1" x14ac:dyDescent="0.45">
      <c r="A39" s="3"/>
      <c r="B39" s="30" t="s">
        <v>52</v>
      </c>
      <c r="C39" s="6"/>
      <c r="D39" s="6"/>
      <c r="E39" s="6"/>
      <c r="F39" s="6"/>
    </row>
    <row r="40" spans="1:6" s="35" customFormat="1" ht="15" customHeight="1" x14ac:dyDescent="0.45">
      <c r="A40" s="3"/>
      <c r="B40" s="12" t="s">
        <v>53</v>
      </c>
      <c r="C40" s="125" t="s">
        <v>54</v>
      </c>
      <c r="D40" s="125"/>
      <c r="E40" s="32" t="s">
        <v>55</v>
      </c>
      <c r="F40" s="32" t="s">
        <v>56</v>
      </c>
    </row>
    <row r="41" spans="1:6" s="35" customFormat="1" x14ac:dyDescent="0.45">
      <c r="A41" s="3"/>
      <c r="B41" s="37" t="s">
        <v>13</v>
      </c>
      <c r="C41" s="127" t="s">
        <v>57</v>
      </c>
      <c r="D41" s="127"/>
      <c r="E41" s="15" t="s">
        <v>58</v>
      </c>
      <c r="F41" s="38">
        <v>7.4</v>
      </c>
    </row>
    <row r="42" spans="1:6" s="35" customFormat="1" x14ac:dyDescent="0.45">
      <c r="B42" s="37" t="s">
        <v>15</v>
      </c>
      <c r="C42" s="128" t="s">
        <v>59</v>
      </c>
      <c r="D42" s="128"/>
      <c r="E42" s="39" t="s">
        <v>58</v>
      </c>
      <c r="F42" s="38">
        <v>27</v>
      </c>
    </row>
    <row r="43" spans="1:6" s="35" customFormat="1" x14ac:dyDescent="0.45">
      <c r="B43" s="37" t="s">
        <v>18</v>
      </c>
      <c r="C43" s="127" t="s">
        <v>60</v>
      </c>
      <c r="D43" s="127"/>
      <c r="E43" s="15" t="s">
        <v>61</v>
      </c>
      <c r="F43" s="40">
        <v>22</v>
      </c>
    </row>
    <row r="44" spans="1:6" ht="16.399999999999999" customHeight="1" x14ac:dyDescent="0.45">
      <c r="B44" s="37" t="s">
        <v>21</v>
      </c>
      <c r="C44" s="119" t="s">
        <v>62</v>
      </c>
      <c r="D44" s="119"/>
      <c r="E44" s="41" t="s">
        <v>61</v>
      </c>
      <c r="F44" s="33">
        <v>20.79</v>
      </c>
    </row>
    <row r="45" spans="1:6" ht="16.399999999999999" customHeight="1" x14ac:dyDescent="0.45">
      <c r="B45" s="37" t="s">
        <v>24</v>
      </c>
      <c r="C45" s="119" t="s">
        <v>63</v>
      </c>
      <c r="D45" s="119"/>
      <c r="E45" s="41" t="s">
        <v>61</v>
      </c>
      <c r="F45" s="33"/>
    </row>
    <row r="46" spans="1:6" ht="16.399999999999999" customHeight="1" x14ac:dyDescent="0.45">
      <c r="B46" s="37" t="s">
        <v>47</v>
      </c>
      <c r="C46" s="119" t="s">
        <v>64</v>
      </c>
      <c r="D46" s="119"/>
      <c r="E46" s="41" t="s">
        <v>61</v>
      </c>
      <c r="F46" s="33"/>
    </row>
    <row r="47" spans="1:6" ht="16.399999999999999" customHeight="1" x14ac:dyDescent="0.45">
      <c r="B47" s="37" t="s">
        <v>49</v>
      </c>
      <c r="C47" s="119" t="s">
        <v>65</v>
      </c>
      <c r="D47" s="119"/>
      <c r="E47" s="41" t="s">
        <v>61</v>
      </c>
      <c r="F47" s="33"/>
    </row>
    <row r="48" spans="1:6" s="35" customFormat="1" x14ac:dyDescent="0.45"/>
    <row r="49" spans="1:6" s="6" customFormat="1" x14ac:dyDescent="0.45">
      <c r="B49" s="30" t="s">
        <v>66</v>
      </c>
      <c r="C49" s="42"/>
      <c r="D49" s="43"/>
      <c r="E49" s="3"/>
      <c r="F49" s="3"/>
    </row>
    <row r="50" spans="1:6" s="6" customFormat="1" ht="15" customHeight="1" x14ac:dyDescent="0.45">
      <c r="B50" s="30" t="s">
        <v>67</v>
      </c>
      <c r="C50" s="42"/>
      <c r="D50" s="43"/>
      <c r="E50" s="44"/>
      <c r="F50" s="44"/>
    </row>
    <row r="51" spans="1:6" ht="16.5" customHeight="1" x14ac:dyDescent="0.45">
      <c r="A51" s="6"/>
      <c r="B51" s="12" t="s">
        <v>68</v>
      </c>
      <c r="C51" s="125" t="s">
        <v>69</v>
      </c>
      <c r="D51" s="125"/>
      <c r="E51" s="125"/>
      <c r="F51" s="32" t="s">
        <v>70</v>
      </c>
    </row>
    <row r="52" spans="1:6" s="35" customFormat="1" ht="16.5" customHeight="1" x14ac:dyDescent="0.45">
      <c r="B52" s="32" t="s">
        <v>13</v>
      </c>
      <c r="C52" s="126" t="s">
        <v>71</v>
      </c>
      <c r="D52" s="126"/>
      <c r="E52" s="126"/>
      <c r="F52" s="38"/>
    </row>
    <row r="53" spans="1:6" x14ac:dyDescent="0.45">
      <c r="B53" s="35"/>
      <c r="C53" s="35"/>
      <c r="D53" s="35"/>
      <c r="E53" s="35"/>
      <c r="F53" s="35"/>
    </row>
    <row r="54" spans="1:6" x14ac:dyDescent="0.45">
      <c r="B54" s="30" t="s">
        <v>72</v>
      </c>
      <c r="C54" s="42"/>
      <c r="D54" s="43"/>
      <c r="E54" s="44"/>
      <c r="F54" s="44"/>
    </row>
    <row r="55" spans="1:6" x14ac:dyDescent="0.45">
      <c r="B55" s="12" t="s">
        <v>73</v>
      </c>
      <c r="C55" s="121" t="s">
        <v>74</v>
      </c>
      <c r="D55" s="121"/>
      <c r="E55" s="121"/>
      <c r="F55" s="32" t="s">
        <v>75</v>
      </c>
    </row>
    <row r="56" spans="1:6" ht="15" customHeight="1" x14ac:dyDescent="0.45">
      <c r="B56" s="12" t="s">
        <v>13</v>
      </c>
      <c r="C56" s="122" t="s">
        <v>76</v>
      </c>
      <c r="D56" s="122"/>
      <c r="E56" s="122"/>
      <c r="F56" s="34"/>
    </row>
    <row r="57" spans="1:6" s="35" customFormat="1" ht="16.5" customHeight="1" x14ac:dyDescent="0.45">
      <c r="B57" s="12" t="s">
        <v>15</v>
      </c>
      <c r="C57" s="115" t="s">
        <v>77</v>
      </c>
      <c r="D57" s="115"/>
      <c r="E57" s="115"/>
      <c r="F57" s="34"/>
    </row>
    <row r="58" spans="1:6" x14ac:dyDescent="0.45">
      <c r="B58" s="35"/>
      <c r="C58" s="35"/>
      <c r="D58" s="35"/>
      <c r="E58" s="35"/>
      <c r="F58" s="35"/>
    </row>
    <row r="59" spans="1:6" ht="15.75" customHeight="1" x14ac:dyDescent="0.45">
      <c r="B59" s="30" t="s">
        <v>78</v>
      </c>
      <c r="C59" s="42"/>
      <c r="D59" s="42"/>
      <c r="E59" s="44"/>
      <c r="F59" s="44"/>
    </row>
    <row r="60" spans="1:6" ht="16.5" customHeight="1" x14ac:dyDescent="0.45">
      <c r="B60" s="45">
        <v>5</v>
      </c>
      <c r="C60" s="123" t="s">
        <v>79</v>
      </c>
      <c r="D60" s="123"/>
      <c r="E60" s="123"/>
      <c r="F60" s="46" t="s">
        <v>80</v>
      </c>
    </row>
    <row r="61" spans="1:6" ht="16.399999999999999" customHeight="1" x14ac:dyDescent="0.45">
      <c r="B61" s="47" t="s">
        <v>13</v>
      </c>
      <c r="C61" s="118" t="s">
        <v>81</v>
      </c>
      <c r="D61" s="118"/>
      <c r="E61" s="118"/>
      <c r="F61" s="48">
        <f>UNIFORME!F10</f>
        <v>28.796666666666667</v>
      </c>
    </row>
    <row r="62" spans="1:6" s="49" customFormat="1" ht="16.5" customHeight="1" x14ac:dyDescent="0.45">
      <c r="A62" s="3"/>
      <c r="B62" s="47" t="s">
        <v>15</v>
      </c>
      <c r="C62" s="124" t="s">
        <v>82</v>
      </c>
      <c r="D62" s="124"/>
      <c r="E62" s="124"/>
      <c r="F62" s="48"/>
    </row>
    <row r="63" spans="1:6" s="49" customFormat="1" ht="16.399999999999999" customHeight="1" x14ac:dyDescent="0.45">
      <c r="A63" s="3"/>
      <c r="B63" s="47" t="s">
        <v>18</v>
      </c>
      <c r="C63" s="118" t="s">
        <v>207</v>
      </c>
      <c r="D63" s="118"/>
      <c r="E63" s="118"/>
      <c r="F63" s="48">
        <f>EQUIPAMENTOS!I8</f>
        <v>17.439999999999998</v>
      </c>
    </row>
    <row r="64" spans="1:6" s="35" customFormat="1" ht="16.5" customHeight="1" x14ac:dyDescent="0.45">
      <c r="B64" s="47" t="s">
        <v>21</v>
      </c>
      <c r="C64" s="119" t="s">
        <v>208</v>
      </c>
      <c r="D64" s="119"/>
      <c r="E64" s="119"/>
      <c r="F64" s="33"/>
    </row>
    <row r="65" spans="1:6" s="50" customFormat="1" ht="16.5" customHeight="1" x14ac:dyDescent="0.45">
      <c r="A65" s="3"/>
      <c r="B65" s="35"/>
      <c r="C65" s="35"/>
      <c r="D65" s="35"/>
      <c r="E65" s="35"/>
      <c r="F65" s="35"/>
    </row>
    <row r="66" spans="1:6" s="51" customFormat="1" ht="16.5" customHeight="1" x14ac:dyDescent="0.45">
      <c r="A66" s="3"/>
      <c r="B66" s="120" t="s">
        <v>83</v>
      </c>
      <c r="C66" s="120"/>
      <c r="D66" s="120"/>
      <c r="E66" s="120"/>
      <c r="F66" s="120"/>
    </row>
    <row r="67" spans="1:6" s="51" customFormat="1" x14ac:dyDescent="0.45">
      <c r="A67" s="49"/>
      <c r="B67" s="12">
        <v>6</v>
      </c>
      <c r="C67" s="121" t="s">
        <v>84</v>
      </c>
      <c r="D67" s="121"/>
      <c r="E67" s="121"/>
      <c r="F67" s="32" t="s">
        <v>70</v>
      </c>
    </row>
    <row r="68" spans="1:6" s="51" customFormat="1" ht="16.399999999999999" customHeight="1" x14ac:dyDescent="0.45">
      <c r="A68" s="49"/>
      <c r="B68" s="12" t="s">
        <v>13</v>
      </c>
      <c r="C68" s="116" t="s">
        <v>85</v>
      </c>
      <c r="D68" s="116"/>
      <c r="E68" s="116"/>
      <c r="F68" s="52">
        <v>4.7300000000000004</v>
      </c>
    </row>
    <row r="69" spans="1:6" s="51" customFormat="1" ht="16.399999999999999" customHeight="1" x14ac:dyDescent="0.45">
      <c r="A69" s="50"/>
      <c r="B69" s="32" t="s">
        <v>15</v>
      </c>
      <c r="C69" s="115" t="s">
        <v>86</v>
      </c>
      <c r="D69" s="115"/>
      <c r="E69" s="115"/>
      <c r="F69" s="52">
        <v>5.57</v>
      </c>
    </row>
    <row r="70" spans="1:6" ht="16.399999999999999" customHeight="1" x14ac:dyDescent="0.45">
      <c r="B70" s="53" t="s">
        <v>87</v>
      </c>
      <c r="C70" s="116" t="s">
        <v>88</v>
      </c>
      <c r="D70" s="116"/>
      <c r="E70" s="116">
        <f>PERC_PIS</f>
        <v>0.65</v>
      </c>
      <c r="F70" s="52">
        <v>0.65</v>
      </c>
    </row>
    <row r="71" spans="1:6" ht="16.399999999999999" customHeight="1" x14ac:dyDescent="0.45">
      <c r="B71" s="53" t="s">
        <v>89</v>
      </c>
      <c r="C71" s="115" t="s">
        <v>90</v>
      </c>
      <c r="D71" s="115"/>
      <c r="E71" s="115">
        <f>PERC_COFINS</f>
        <v>3</v>
      </c>
      <c r="F71" s="52">
        <v>3</v>
      </c>
    </row>
    <row r="72" spans="1:6" s="35" customFormat="1" ht="16.399999999999999" customHeight="1" x14ac:dyDescent="0.45">
      <c r="B72" s="53" t="s">
        <v>91</v>
      </c>
      <c r="C72" s="116" t="s">
        <v>92</v>
      </c>
      <c r="D72" s="116"/>
      <c r="E72" s="116">
        <f>PERC_ISS</f>
        <v>5</v>
      </c>
      <c r="F72" s="52">
        <v>5</v>
      </c>
    </row>
    <row r="73" spans="1:6" x14ac:dyDescent="0.45">
      <c r="B73" s="35"/>
      <c r="C73" s="35"/>
      <c r="D73" s="35"/>
      <c r="E73" s="35"/>
      <c r="F73" s="35"/>
    </row>
    <row r="74" spans="1:6" ht="33.75" customHeight="1" x14ac:dyDescent="0.45">
      <c r="B74" s="54" t="s">
        <v>93</v>
      </c>
      <c r="C74" s="55"/>
      <c r="D74" s="55"/>
      <c r="E74" s="55"/>
      <c r="F74" s="56"/>
    </row>
    <row r="75" spans="1:6" ht="32.25" customHeight="1" x14ac:dyDescent="0.45">
      <c r="B75" s="117" t="s">
        <v>94</v>
      </c>
      <c r="C75" s="117"/>
      <c r="D75" s="117"/>
      <c r="E75" s="117"/>
      <c r="F75" s="117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8000000}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9000000}">
      <formula1>0</formula1>
      <formula2>0</formula2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42"/>
  <sheetViews>
    <sheetView topLeftCell="B37" zoomScaleNormal="100" workbookViewId="0">
      <selection activeCell="B23" sqref="B23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15" width="9.08984375" style="3" customWidth="1"/>
    <col min="1016" max="1025" width="8.6328125" customWidth="1"/>
  </cols>
  <sheetData>
    <row r="1" spans="1:6" s="6" customFormat="1" ht="25" x14ac:dyDescent="0.7">
      <c r="B1" s="29" t="s">
        <v>95</v>
      </c>
      <c r="C1" s="3"/>
      <c r="D1" s="3"/>
      <c r="E1" s="3"/>
      <c r="F1" s="3"/>
    </row>
    <row r="2" spans="1:6" x14ac:dyDescent="0.45">
      <c r="B2" s="30" t="s">
        <v>39</v>
      </c>
      <c r="E2" s="31"/>
      <c r="F2" s="31"/>
    </row>
    <row r="3" spans="1:6" ht="31.25" customHeight="1" x14ac:dyDescent="0.45">
      <c r="B3" s="12">
        <v>1</v>
      </c>
      <c r="C3" s="125" t="s">
        <v>40</v>
      </c>
      <c r="D3" s="125"/>
      <c r="E3" s="125"/>
      <c r="F3" s="32" t="s">
        <v>96</v>
      </c>
    </row>
    <row r="4" spans="1:6" ht="16.399999999999999" customHeight="1" x14ac:dyDescent="0.45">
      <c r="B4" s="12" t="s">
        <v>24</v>
      </c>
      <c r="C4" s="116" t="s">
        <v>97</v>
      </c>
      <c r="D4" s="116"/>
      <c r="E4" s="116"/>
      <c r="F4" s="57">
        <v>220</v>
      </c>
    </row>
    <row r="5" spans="1:6" ht="16.399999999999999" customHeight="1" x14ac:dyDescent="0.45">
      <c r="B5" s="12" t="s">
        <v>47</v>
      </c>
      <c r="C5" s="129" t="s">
        <v>98</v>
      </c>
      <c r="D5" s="129"/>
      <c r="E5" s="129"/>
      <c r="F5" s="58">
        <v>7</v>
      </c>
    </row>
    <row r="6" spans="1:6" ht="16.399999999999999" customHeight="1" x14ac:dyDescent="0.45">
      <c r="B6" s="12" t="s">
        <v>49</v>
      </c>
      <c r="C6" s="116" t="s">
        <v>99</v>
      </c>
      <c r="D6" s="116"/>
      <c r="E6" s="116"/>
      <c r="F6" s="57">
        <v>365</v>
      </c>
    </row>
    <row r="7" spans="1:6" ht="16.399999999999999" customHeight="1" x14ac:dyDescent="0.45">
      <c r="B7" s="12" t="s">
        <v>100</v>
      </c>
      <c r="C7" s="129" t="s">
        <v>101</v>
      </c>
      <c r="D7" s="129"/>
      <c r="E7" s="129"/>
      <c r="F7" s="59">
        <v>22</v>
      </c>
    </row>
    <row r="8" spans="1:6" ht="16.399999999999999" customHeight="1" x14ac:dyDescent="0.45">
      <c r="B8" s="12" t="s">
        <v>102</v>
      </c>
      <c r="C8" s="116" t="s">
        <v>103</v>
      </c>
      <c r="D8" s="116"/>
      <c r="E8" s="116"/>
      <c r="F8" s="57">
        <v>12</v>
      </c>
    </row>
    <row r="9" spans="1:6" ht="16.399999999999999" customHeight="1" x14ac:dyDescent="0.45">
      <c r="B9" s="12" t="s">
        <v>104</v>
      </c>
      <c r="C9" s="129" t="s">
        <v>105</v>
      </c>
      <c r="D9" s="129"/>
      <c r="E9" s="129"/>
      <c r="F9" s="58">
        <v>60</v>
      </c>
    </row>
    <row r="10" spans="1:6" s="3" customFormat="1" ht="16.399999999999999" customHeight="1" x14ac:dyDescent="0.45">
      <c r="B10" s="12" t="s">
        <v>106</v>
      </c>
      <c r="C10" s="116" t="s">
        <v>107</v>
      </c>
      <c r="D10" s="116"/>
      <c r="E10" s="116"/>
      <c r="F10" s="60">
        <v>52.5</v>
      </c>
    </row>
    <row r="11" spans="1:6" s="35" customFormat="1" x14ac:dyDescent="0.45"/>
    <row r="12" spans="1:6" s="35" customFormat="1" x14ac:dyDescent="0.45">
      <c r="A12" s="3"/>
      <c r="B12" s="30" t="s">
        <v>52</v>
      </c>
      <c r="C12" s="6"/>
      <c r="D12" s="6"/>
      <c r="E12" s="6"/>
      <c r="F12" s="6"/>
    </row>
    <row r="13" spans="1:6" s="35" customFormat="1" ht="16.399999999999999" customHeight="1" x14ac:dyDescent="0.45">
      <c r="A13" s="3"/>
      <c r="B13" s="12" t="s">
        <v>53</v>
      </c>
      <c r="C13" s="125" t="s">
        <v>54</v>
      </c>
      <c r="D13" s="125"/>
      <c r="E13" s="32" t="s">
        <v>55</v>
      </c>
      <c r="F13" s="32" t="s">
        <v>70</v>
      </c>
    </row>
    <row r="14" spans="1:6" s="35" customFormat="1" x14ac:dyDescent="0.45">
      <c r="B14" s="37" t="s">
        <v>18</v>
      </c>
      <c r="C14" s="128" t="s">
        <v>108</v>
      </c>
      <c r="D14" s="128"/>
      <c r="E14" s="39" t="s">
        <v>61</v>
      </c>
      <c r="F14" s="61">
        <v>6</v>
      </c>
    </row>
    <row r="15" spans="1:6" s="35" customFormat="1" x14ac:dyDescent="0.45"/>
    <row r="16" spans="1:6" s="6" customFormat="1" x14ac:dyDescent="0.45">
      <c r="A16" s="35"/>
      <c r="B16" s="30" t="s">
        <v>109</v>
      </c>
      <c r="C16" s="42"/>
      <c r="D16" s="43"/>
      <c r="E16" s="44"/>
      <c r="F16" s="44"/>
    </row>
    <row r="17" spans="1:6" s="6" customFormat="1" x14ac:dyDescent="0.45">
      <c r="A17" s="35"/>
      <c r="B17" s="12">
        <v>3</v>
      </c>
      <c r="C17" s="121" t="s">
        <v>110</v>
      </c>
      <c r="D17" s="121"/>
      <c r="E17" s="121"/>
      <c r="F17" s="32" t="s">
        <v>111</v>
      </c>
    </row>
    <row r="18" spans="1:6" s="6" customFormat="1" ht="16.399999999999999" customHeight="1" x14ac:dyDescent="0.45">
      <c r="A18" s="35"/>
      <c r="B18" s="12" t="s">
        <v>13</v>
      </c>
      <c r="C18" s="116" t="s">
        <v>112</v>
      </c>
      <c r="D18" s="116"/>
      <c r="E18" s="116"/>
      <c r="F18" s="62">
        <v>56.24</v>
      </c>
    </row>
    <row r="19" spans="1:6" x14ac:dyDescent="0.45">
      <c r="A19" s="35"/>
      <c r="B19" s="32" t="s">
        <v>15</v>
      </c>
      <c r="C19" s="138" t="s">
        <v>113</v>
      </c>
      <c r="D19" s="138"/>
      <c r="E19" s="138"/>
      <c r="F19" s="63">
        <v>5.55</v>
      </c>
    </row>
    <row r="20" spans="1:6" s="6" customFormat="1" ht="16.399999999999999" customHeight="1" x14ac:dyDescent="0.3">
      <c r="B20" s="32" t="s">
        <v>18</v>
      </c>
      <c r="C20" s="116" t="s">
        <v>114</v>
      </c>
      <c r="D20" s="116"/>
      <c r="E20" s="116"/>
      <c r="F20" s="64">
        <v>40</v>
      </c>
    </row>
    <row r="21" spans="1:6" ht="16.399999999999999" customHeight="1" x14ac:dyDescent="0.45">
      <c r="A21" s="35"/>
      <c r="B21" s="32" t="s">
        <v>21</v>
      </c>
      <c r="C21" s="116" t="s">
        <v>115</v>
      </c>
      <c r="D21" s="116"/>
      <c r="E21" s="116"/>
      <c r="F21" s="62">
        <v>94.45</v>
      </c>
    </row>
    <row r="22" spans="1:6" x14ac:dyDescent="0.45">
      <c r="A22" s="35"/>
      <c r="B22" s="32" t="s">
        <v>24</v>
      </c>
      <c r="C22" s="138" t="s">
        <v>116</v>
      </c>
      <c r="D22" s="138"/>
      <c r="E22" s="138"/>
      <c r="F22" s="61">
        <v>30</v>
      </c>
    </row>
    <row r="23" spans="1:6" s="35" customFormat="1" x14ac:dyDescent="0.45"/>
    <row r="24" spans="1:6" s="6" customFormat="1" x14ac:dyDescent="0.45">
      <c r="B24" s="30" t="s">
        <v>66</v>
      </c>
      <c r="C24" s="42"/>
      <c r="D24" s="43"/>
      <c r="E24" s="3"/>
      <c r="F24" s="3"/>
    </row>
    <row r="25" spans="1:6" s="6" customFormat="1" x14ac:dyDescent="0.45">
      <c r="B25" s="30" t="s">
        <v>67</v>
      </c>
      <c r="C25" s="42"/>
      <c r="D25" s="43"/>
      <c r="E25" s="44"/>
      <c r="F25" s="44"/>
    </row>
    <row r="26" spans="1:6" s="6" customFormat="1" ht="16.399999999999999" customHeight="1" x14ac:dyDescent="0.3">
      <c r="B26" s="12" t="s">
        <v>68</v>
      </c>
      <c r="C26" s="125" t="s">
        <v>69</v>
      </c>
      <c r="D26" s="125"/>
      <c r="E26" s="125"/>
      <c r="F26" s="32" t="s">
        <v>111</v>
      </c>
    </row>
    <row r="27" spans="1:6" s="6" customFormat="1" ht="16.399999999999999" customHeight="1" x14ac:dyDescent="0.3">
      <c r="B27" s="12" t="s">
        <v>13</v>
      </c>
      <c r="C27" s="116" t="s">
        <v>117</v>
      </c>
      <c r="D27" s="116"/>
      <c r="E27" s="116"/>
      <c r="F27" s="64">
        <v>8</v>
      </c>
    </row>
    <row r="28" spans="1:6" ht="16.399999999999999" customHeight="1" x14ac:dyDescent="0.45">
      <c r="A28" s="6"/>
      <c r="B28" s="32" t="s">
        <v>15</v>
      </c>
      <c r="C28" s="115" t="s">
        <v>118</v>
      </c>
      <c r="D28" s="115"/>
      <c r="E28" s="115"/>
      <c r="F28" s="61">
        <v>20</v>
      </c>
    </row>
    <row r="29" spans="1:6" ht="16.399999999999999" customHeight="1" x14ac:dyDescent="0.45">
      <c r="A29" s="6"/>
      <c r="B29" s="32" t="s">
        <v>18</v>
      </c>
      <c r="C29" s="116" t="s">
        <v>119</v>
      </c>
      <c r="D29" s="116"/>
      <c r="E29" s="116"/>
      <c r="F29" s="62">
        <v>1.42</v>
      </c>
    </row>
    <row r="30" spans="1:6" ht="16.399999999999999" customHeight="1" x14ac:dyDescent="0.45">
      <c r="A30" s="6"/>
      <c r="B30" s="32" t="s">
        <v>21</v>
      </c>
      <c r="C30" s="115" t="s">
        <v>120</v>
      </c>
      <c r="D30" s="115"/>
      <c r="E30" s="115"/>
      <c r="F30" s="63">
        <v>45.22</v>
      </c>
    </row>
    <row r="31" spans="1:6" s="6" customFormat="1" ht="16.399999999999999" customHeight="1" x14ac:dyDescent="0.45">
      <c r="A31" s="3"/>
      <c r="B31" s="32" t="s">
        <v>24</v>
      </c>
      <c r="C31" s="116" t="s">
        <v>121</v>
      </c>
      <c r="D31" s="116"/>
      <c r="E31" s="116"/>
      <c r="F31" s="62">
        <f>(154800/34808000)*100</f>
        <v>0.44472535049413925</v>
      </c>
    </row>
    <row r="32" spans="1:6" ht="16.399999999999999" customHeight="1" x14ac:dyDescent="0.45">
      <c r="A32" s="6"/>
      <c r="B32" s="32" t="s">
        <v>47</v>
      </c>
      <c r="C32" s="115" t="s">
        <v>122</v>
      </c>
      <c r="D32" s="115"/>
      <c r="E32" s="115"/>
      <c r="F32" s="61">
        <v>15</v>
      </c>
    </row>
    <row r="33" spans="1:6" ht="16.399999999999999" customHeight="1" x14ac:dyDescent="0.45">
      <c r="A33" s="6"/>
      <c r="B33" s="32" t="s">
        <v>49</v>
      </c>
      <c r="C33" s="116" t="s">
        <v>123</v>
      </c>
      <c r="D33" s="116"/>
      <c r="E33" s="116"/>
      <c r="F33" s="64">
        <v>180</v>
      </c>
    </row>
    <row r="34" spans="1:6" ht="16.399999999999999" customHeight="1" x14ac:dyDescent="0.45">
      <c r="A34" s="6"/>
      <c r="B34" s="32" t="s">
        <v>124</v>
      </c>
      <c r="C34" s="115" t="s">
        <v>125</v>
      </c>
      <c r="D34" s="115"/>
      <c r="E34" s="115"/>
      <c r="F34" s="63">
        <v>54.78</v>
      </c>
    </row>
    <row r="35" spans="1:6" s="35" customFormat="1" x14ac:dyDescent="0.45"/>
    <row r="36" spans="1:6" x14ac:dyDescent="0.45">
      <c r="B36" s="30" t="s">
        <v>126</v>
      </c>
      <c r="C36" s="42"/>
      <c r="D36" s="43"/>
      <c r="E36" s="44"/>
      <c r="F36" s="44"/>
    </row>
    <row r="37" spans="1:6" x14ac:dyDescent="0.45">
      <c r="B37" s="12" t="s">
        <v>73</v>
      </c>
      <c r="C37" s="121" t="s">
        <v>127</v>
      </c>
      <c r="D37" s="121"/>
      <c r="E37" s="121"/>
      <c r="F37" s="32" t="s">
        <v>128</v>
      </c>
    </row>
    <row r="38" spans="1:6" ht="16.399999999999999" customHeight="1" x14ac:dyDescent="0.45">
      <c r="B38" s="12" t="s">
        <v>13</v>
      </c>
      <c r="C38" s="122" t="s">
        <v>76</v>
      </c>
      <c r="D38" s="122"/>
      <c r="E38" s="122"/>
      <c r="F38" s="57">
        <f>PERC_HORA_EXTRA</f>
        <v>0</v>
      </c>
    </row>
    <row r="39" spans="1:6" ht="16.399999999999999" customHeight="1" x14ac:dyDescent="0.45">
      <c r="B39" s="12" t="s">
        <v>15</v>
      </c>
      <c r="C39" s="115" t="s">
        <v>77</v>
      </c>
      <c r="D39" s="115"/>
      <c r="E39" s="115"/>
      <c r="F39" s="58">
        <f>TEMPO_INTERVALO_REFEICAO</f>
        <v>0</v>
      </c>
    </row>
    <row r="40" spans="1:6" s="35" customFormat="1" x14ac:dyDescent="0.45"/>
    <row r="41" spans="1:6" ht="21" x14ac:dyDescent="0.45">
      <c r="B41" s="54" t="s">
        <v>93</v>
      </c>
      <c r="C41" s="55"/>
      <c r="D41" s="55"/>
      <c r="E41" s="55"/>
      <c r="F41" s="56"/>
    </row>
    <row r="42" spans="1:6" ht="31.25" customHeight="1" x14ac:dyDescent="0.45">
      <c r="B42" s="117" t="s">
        <v>94</v>
      </c>
      <c r="C42" s="117"/>
      <c r="D42" s="117"/>
      <c r="E42" s="117"/>
      <c r="F42" s="117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7:E37"/>
    <mergeCell ref="C38:E38"/>
    <mergeCell ref="C39:E39"/>
    <mergeCell ref="B42:F42"/>
    <mergeCell ref="C30:E30"/>
    <mergeCell ref="C31:E31"/>
    <mergeCell ref="C32:E32"/>
    <mergeCell ref="C33:E33"/>
    <mergeCell ref="C34:E34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7"/>
  <sheetViews>
    <sheetView topLeftCell="A19" zoomScaleNormal="100" workbookViewId="0">
      <selection activeCell="F26" sqref="F26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22" style="3" customWidth="1"/>
    <col min="5" max="5" width="13.54296875" style="3" customWidth="1"/>
    <col min="6" max="6" width="43.81640625" style="3" customWidth="1"/>
    <col min="7" max="7" width="51.7265625" style="3" customWidth="1"/>
    <col min="8" max="1025" width="9.08984375" style="3" customWidth="1"/>
  </cols>
  <sheetData>
    <row r="1" spans="2:7" s="6" customFormat="1" ht="25" x14ac:dyDescent="0.7">
      <c r="B1" s="29" t="s">
        <v>129</v>
      </c>
      <c r="C1" s="3"/>
      <c r="D1" s="3"/>
      <c r="E1" s="3"/>
      <c r="F1" s="3"/>
      <c r="G1" s="3"/>
    </row>
    <row r="2" spans="2:7" x14ac:dyDescent="0.45">
      <c r="B2" s="30" t="s">
        <v>51</v>
      </c>
      <c r="E2" s="36"/>
    </row>
    <row r="3" spans="2:7" x14ac:dyDescent="0.45">
      <c r="B3" s="30" t="s">
        <v>130</v>
      </c>
      <c r="C3" s="42"/>
      <c r="D3" s="43"/>
      <c r="E3" s="44"/>
    </row>
    <row r="4" spans="2:7" x14ac:dyDescent="0.45">
      <c r="B4" s="12" t="s">
        <v>131</v>
      </c>
      <c r="C4" s="121" t="s">
        <v>132</v>
      </c>
      <c r="D4" s="121"/>
      <c r="E4" s="32" t="s">
        <v>70</v>
      </c>
      <c r="F4" s="32" t="s">
        <v>133</v>
      </c>
    </row>
    <row r="5" spans="2:7" ht="16.5" customHeight="1" x14ac:dyDescent="0.45">
      <c r="B5" s="12" t="s">
        <v>13</v>
      </c>
      <c r="C5" s="116" t="s">
        <v>134</v>
      </c>
      <c r="D5" s="116"/>
      <c r="E5" s="65">
        <f>(1/MESES_NO_ANO)*100</f>
        <v>8.3333333333333321</v>
      </c>
      <c r="F5" s="65" t="s">
        <v>135</v>
      </c>
    </row>
    <row r="6" spans="2:7" ht="16.5" customHeight="1" x14ac:dyDescent="0.45">
      <c r="B6" s="32" t="s">
        <v>15</v>
      </c>
      <c r="C6" s="115" t="s">
        <v>136</v>
      </c>
      <c r="D6" s="115"/>
      <c r="E6" s="66">
        <f>(1/3)/MESES_NO_ANO*100</f>
        <v>2.7777777777777777</v>
      </c>
      <c r="F6" s="66" t="s">
        <v>137</v>
      </c>
    </row>
    <row r="7" spans="2:7" s="35" customFormat="1" ht="16.5" customHeight="1" x14ac:dyDescent="0.45">
      <c r="B7" s="141" t="s">
        <v>138</v>
      </c>
      <c r="C7" s="141"/>
      <c r="D7" s="141"/>
      <c r="E7" s="141"/>
      <c r="F7" s="141"/>
    </row>
    <row r="8" spans="2:7" s="35" customFormat="1" ht="34.5" customHeight="1" x14ac:dyDescent="0.45">
      <c r="B8" s="12" t="s">
        <v>139</v>
      </c>
      <c r="C8" s="142" t="s">
        <v>140</v>
      </c>
      <c r="D8" s="142"/>
      <c r="E8" s="32" t="s">
        <v>70</v>
      </c>
    </row>
    <row r="9" spans="2:7" ht="16.5" customHeight="1" x14ac:dyDescent="0.45">
      <c r="B9" s="12" t="s">
        <v>13</v>
      </c>
      <c r="C9" s="116" t="s">
        <v>141</v>
      </c>
      <c r="D9" s="116"/>
      <c r="E9" s="65">
        <v>20</v>
      </c>
    </row>
    <row r="10" spans="2:7" s="6" customFormat="1" ht="16.5" customHeight="1" x14ac:dyDescent="0.3">
      <c r="B10" s="32" t="s">
        <v>15</v>
      </c>
      <c r="C10" s="115" t="s">
        <v>142</v>
      </c>
      <c r="D10" s="115"/>
      <c r="E10" s="67">
        <v>2.5</v>
      </c>
    </row>
    <row r="11" spans="2:7" s="6" customFormat="1" ht="16.5" customHeight="1" x14ac:dyDescent="0.3">
      <c r="B11" s="32" t="s">
        <v>18</v>
      </c>
      <c r="C11" s="116" t="s">
        <v>143</v>
      </c>
      <c r="D11" s="116"/>
      <c r="E11" s="65">
        <v>3</v>
      </c>
    </row>
    <row r="12" spans="2:7" s="6" customFormat="1" ht="16.5" customHeight="1" x14ac:dyDescent="0.3">
      <c r="B12" s="32" t="s">
        <v>21</v>
      </c>
      <c r="C12" s="115" t="s">
        <v>144</v>
      </c>
      <c r="D12" s="115"/>
      <c r="E12" s="66">
        <v>1.5</v>
      </c>
    </row>
    <row r="13" spans="2:7" s="6" customFormat="1" ht="16.5" customHeight="1" x14ac:dyDescent="0.3">
      <c r="B13" s="32" t="s">
        <v>24</v>
      </c>
      <c r="C13" s="116" t="s">
        <v>145</v>
      </c>
      <c r="D13" s="116"/>
      <c r="E13" s="65">
        <v>1</v>
      </c>
    </row>
    <row r="14" spans="2:7" s="6" customFormat="1" ht="16.5" customHeight="1" x14ac:dyDescent="0.3">
      <c r="B14" s="32" t="s">
        <v>47</v>
      </c>
      <c r="C14" s="115" t="s">
        <v>146</v>
      </c>
      <c r="D14" s="115"/>
      <c r="E14" s="67">
        <v>0.6</v>
      </c>
    </row>
    <row r="15" spans="2:7" s="6" customFormat="1" ht="16.5" customHeight="1" x14ac:dyDescent="0.3">
      <c r="B15" s="32" t="s">
        <v>49</v>
      </c>
      <c r="C15" s="116" t="s">
        <v>147</v>
      </c>
      <c r="D15" s="116"/>
      <c r="E15" s="65">
        <v>0.2</v>
      </c>
    </row>
    <row r="16" spans="2:7" ht="16.5" customHeight="1" x14ac:dyDescent="0.45">
      <c r="B16" s="32" t="s">
        <v>124</v>
      </c>
      <c r="C16" s="115" t="s">
        <v>148</v>
      </c>
      <c r="D16" s="115"/>
      <c r="E16" s="67">
        <v>8</v>
      </c>
    </row>
    <row r="17" spans="2:6" x14ac:dyDescent="0.45">
      <c r="B17" s="121" t="s">
        <v>149</v>
      </c>
      <c r="C17" s="121"/>
      <c r="D17" s="121"/>
      <c r="E17" s="68">
        <f>SUM(E9:E16)</f>
        <v>36.799999999999997</v>
      </c>
    </row>
    <row r="18" spans="2:6" s="35" customFormat="1" x14ac:dyDescent="0.45">
      <c r="B18" s="30" t="s">
        <v>109</v>
      </c>
      <c r="C18" s="42"/>
      <c r="D18" s="43"/>
      <c r="E18" s="44"/>
    </row>
    <row r="19" spans="2:6" s="35" customFormat="1" ht="15" customHeight="1" x14ac:dyDescent="0.45">
      <c r="B19" s="12">
        <v>3</v>
      </c>
      <c r="C19" s="121" t="s">
        <v>110</v>
      </c>
      <c r="D19" s="121"/>
      <c r="E19" s="32" t="s">
        <v>70</v>
      </c>
      <c r="F19" s="32" t="s">
        <v>133</v>
      </c>
    </row>
    <row r="20" spans="2:6" s="35" customFormat="1" x14ac:dyDescent="0.45">
      <c r="B20" s="12" t="s">
        <v>13</v>
      </c>
      <c r="C20" s="140" t="s">
        <v>150</v>
      </c>
      <c r="D20" s="140"/>
      <c r="E20" s="65">
        <f>PERC_EMPREG_DEMIT_SEM_JUSTA_CAUSA_TOTAL_DESLIG%*PERC_EMPREG_AVISO_PREVIO_IND%*1/MESES_NO_ANO*100</f>
        <v>0.26011000000000001</v>
      </c>
      <c r="F20" s="65" t="s">
        <v>151</v>
      </c>
    </row>
    <row r="21" spans="2:6" s="35" customFormat="1" x14ac:dyDescent="0.45">
      <c r="B21" s="32" t="s">
        <v>15</v>
      </c>
      <c r="C21" s="139" t="s">
        <v>152</v>
      </c>
      <c r="D21" s="139"/>
      <c r="E21" s="67">
        <f>PERC_FGTS%*PERC_AVISO_PREVIO_IND</f>
        <v>2.0808800000000002E-2</v>
      </c>
      <c r="F21" s="66" t="s">
        <v>153</v>
      </c>
    </row>
    <row r="22" spans="2:6" s="6" customFormat="1" x14ac:dyDescent="0.3">
      <c r="B22" s="32" t="s">
        <v>18</v>
      </c>
      <c r="C22" s="140" t="s">
        <v>154</v>
      </c>
      <c r="D22" s="140"/>
      <c r="E22" s="65">
        <f>PERC_AVISO_PREVIO_IND%*(PERC_MULTA_FGTS%)*PERC_FGTS%*100</f>
        <v>8.3235200000000009E-3</v>
      </c>
      <c r="F22" s="65" t="s">
        <v>155</v>
      </c>
    </row>
    <row r="23" spans="2:6" s="35" customFormat="1" x14ac:dyDescent="0.45">
      <c r="B23" s="32" t="s">
        <v>21</v>
      </c>
      <c r="C23" s="139" t="s">
        <v>156</v>
      </c>
      <c r="D23" s="139"/>
      <c r="E23" s="67">
        <f>PERC_EMPREG_DEMIT_SEM_JUSTA_CAUSA_TOTAL_DESLIG%*PERC_EMPREG_AVISO_PREVIO_TRAB%*(DIAS_NA_SEMANA/DIAS_NO_MES)/MESES_NO_ANO*100</f>
        <v>1.0328632222222223</v>
      </c>
      <c r="F23" s="66" t="s">
        <v>157</v>
      </c>
    </row>
    <row r="24" spans="2:6" s="6" customFormat="1" x14ac:dyDescent="0.3">
      <c r="B24" s="32" t="s">
        <v>24</v>
      </c>
      <c r="C24" s="140" t="s">
        <v>158</v>
      </c>
      <c r="D24" s="140"/>
      <c r="E24" s="65">
        <f>PERC_GPS_FGTS*PERC_AVISO_PREVIO_TRAB%</f>
        <v>0.38009366577777776</v>
      </c>
      <c r="F24" s="65" t="s">
        <v>159</v>
      </c>
    </row>
    <row r="25" spans="2:6" s="6" customFormat="1" x14ac:dyDescent="0.3">
      <c r="B25" s="32" t="s">
        <v>47</v>
      </c>
      <c r="C25" s="139" t="s">
        <v>160</v>
      </c>
      <c r="D25" s="139"/>
      <c r="E25" s="67">
        <f>ROUNDUP(PERC_AVISO_PREVIO_TRAB%*(PERC_MULTA_FGTS%)*PERC_FGTS%*100,2)</f>
        <v>0.04</v>
      </c>
      <c r="F25" s="66" t="s">
        <v>161</v>
      </c>
    </row>
    <row r="26" spans="2:6" s="6" customFormat="1" ht="16" customHeight="1" x14ac:dyDescent="0.45">
      <c r="B26" s="30" t="s">
        <v>66</v>
      </c>
      <c r="C26" s="42"/>
      <c r="D26" s="43"/>
      <c r="E26" s="3"/>
    </row>
    <row r="27" spans="2:6" s="6" customFormat="1" ht="16" customHeight="1" x14ac:dyDescent="0.45">
      <c r="B27" s="30" t="s">
        <v>67</v>
      </c>
      <c r="C27" s="42"/>
      <c r="D27" s="43"/>
      <c r="E27" s="44"/>
    </row>
    <row r="28" spans="2:6" s="6" customFormat="1" ht="16.5" customHeight="1" x14ac:dyDescent="0.3">
      <c r="B28" s="12" t="s">
        <v>68</v>
      </c>
      <c r="C28" s="125" t="s">
        <v>69</v>
      </c>
      <c r="D28" s="125"/>
      <c r="E28" s="32" t="s">
        <v>70</v>
      </c>
      <c r="F28" s="32" t="s">
        <v>133</v>
      </c>
    </row>
    <row r="29" spans="2:6" s="6" customFormat="1" ht="16" customHeight="1" x14ac:dyDescent="0.3">
      <c r="B29" s="32" t="s">
        <v>13</v>
      </c>
      <c r="C29" s="116" t="s">
        <v>162</v>
      </c>
      <c r="D29" s="116"/>
      <c r="E29" s="65">
        <f>(1/MESES_NO_ANO)*100</f>
        <v>8.3333333333333321</v>
      </c>
      <c r="F29" s="65" t="s">
        <v>163</v>
      </c>
    </row>
    <row r="30" spans="2:6" s="6" customFormat="1" ht="16" customHeight="1" x14ac:dyDescent="0.3">
      <c r="B30" s="32" t="s">
        <v>15</v>
      </c>
      <c r="C30" s="1" t="s">
        <v>164</v>
      </c>
      <c r="D30" s="1"/>
      <c r="E30" s="67">
        <f>(DIAS_AUSENCIAS_LEGAIS/DIAS_NO_MES)/MESES_NO_ANO*100</f>
        <v>2.2222222222222223</v>
      </c>
      <c r="F30" s="66" t="s">
        <v>165</v>
      </c>
    </row>
    <row r="31" spans="2:6" s="6" customFormat="1" ht="16" customHeight="1" x14ac:dyDescent="0.3">
      <c r="B31" s="32" t="s">
        <v>18</v>
      </c>
      <c r="C31" s="116" t="s">
        <v>166</v>
      </c>
      <c r="D31" s="116"/>
      <c r="E31" s="65">
        <f>(((DIAS_LICENCA_PATERNIDADE/DIAS_NO_MES)/MESES_NO_ANO)*PERC_NASCIDOS_VIVOS_POPUL_FEM%*PERC_PARTIC_MASC_VIGIL%)*100</f>
        <v>3.5673555555555549E-2</v>
      </c>
      <c r="F31" s="65" t="s">
        <v>167</v>
      </c>
    </row>
    <row r="32" spans="2:6" s="6" customFormat="1" ht="16.5" customHeight="1" x14ac:dyDescent="0.3">
      <c r="B32" s="32" t="s">
        <v>21</v>
      </c>
      <c r="C32" s="115" t="s">
        <v>168</v>
      </c>
      <c r="D32" s="115"/>
      <c r="E32" s="67">
        <f>(DIAS_PAGOS_EMPRESA_ACID_TRAB/DIAS_NO_MES)/MESES_NO_ANO*PERC_EMPREG_AFAST_TRAB%*100</f>
        <v>1.85302229372558E-2</v>
      </c>
      <c r="F32" s="66" t="s">
        <v>169</v>
      </c>
    </row>
    <row r="33" spans="2:7" s="6" customFormat="1" ht="33" customHeight="1" x14ac:dyDescent="0.3">
      <c r="B33" s="32" t="s">
        <v>24</v>
      </c>
      <c r="C33" s="116" t="s">
        <v>170</v>
      </c>
      <c r="D33" s="116"/>
      <c r="E33" s="65">
        <f>(((DIAS_LICENCA_MATERNIDADE/DIAS_NO_MES)/MESES_NO_ANO)*PERC_NASCIDOS_VIVOS_POPUL_FEM%*PERC_PARTIC_FEM_VIGIL%*PERC_GPS_FGTS%*100)</f>
        <v>0.14312918399999999</v>
      </c>
      <c r="F33" s="65" t="s">
        <v>171</v>
      </c>
    </row>
    <row r="34" spans="2:7" s="6" customFormat="1" x14ac:dyDescent="0.3">
      <c r="B34" s="32" t="s">
        <v>47</v>
      </c>
      <c r="C34" s="115" t="str">
        <f>OUTRAS_AUSENCIAS_DESCRICAO</f>
        <v>Outras Ausências (Especificar - em %)</v>
      </c>
      <c r="D34" s="115"/>
      <c r="E34" s="67">
        <f>PERC_SUBSTITUTO_OUTRAS_AUSENCIAS</f>
        <v>0</v>
      </c>
      <c r="F34" s="66"/>
    </row>
    <row r="36" spans="2:7" ht="21" x14ac:dyDescent="0.45">
      <c r="B36" s="54" t="s">
        <v>93</v>
      </c>
    </row>
    <row r="37" spans="2:7" ht="42.75" customHeight="1" x14ac:dyDescent="0.45">
      <c r="B37" s="117" t="s">
        <v>94</v>
      </c>
      <c r="C37" s="117"/>
      <c r="D37" s="117"/>
      <c r="E37" s="117"/>
      <c r="G37" s="69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33:D33"/>
    <mergeCell ref="C34:D34"/>
    <mergeCell ref="B37:E37"/>
    <mergeCell ref="C25:D25"/>
    <mergeCell ref="C28:D28"/>
    <mergeCell ref="C29:D29"/>
    <mergeCell ref="C31:D31"/>
    <mergeCell ref="C32:D32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 xr:uid="{00000000-0002-0000-0200-000001000000}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9"/>
  <sheetViews>
    <sheetView topLeftCell="A13" zoomScaleNormal="100" workbookViewId="0">
      <selection activeCell="F12" sqref="F12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7.9062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56" t="str">
        <f>RAMO</f>
        <v>RAMO: MINISTÉRIO PÚBLICO FEDERAL</v>
      </c>
      <c r="C1" s="156"/>
      <c r="D1" s="156"/>
      <c r="E1" s="156"/>
      <c r="F1" s="156"/>
    </row>
    <row r="2" spans="2:6" ht="21" x14ac:dyDescent="0.55000000000000004">
      <c r="B2" s="157" t="str">
        <f>UG</f>
        <v>UNIDADE GESTORA (SIGLA): PR/AP</v>
      </c>
      <c r="C2" s="157"/>
      <c r="D2" s="157"/>
      <c r="E2" s="70" t="s">
        <v>2</v>
      </c>
      <c r="F2" s="71" t="str">
        <f>DATA_DO_ORCAMENTO_ESTIMATIVO</f>
        <v>XX/XX/2025</v>
      </c>
    </row>
    <row r="3" spans="2:6" s="6" customFormat="1" ht="25" x14ac:dyDescent="0.7">
      <c r="B3" s="137" t="s">
        <v>172</v>
      </c>
      <c r="C3" s="137"/>
      <c r="D3" s="137"/>
      <c r="E3" s="137"/>
      <c r="F3" s="137"/>
    </row>
    <row r="4" spans="2:6" s="6" customFormat="1" ht="16" customHeight="1" x14ac:dyDescent="0.45">
      <c r="B4" s="130" t="s">
        <v>5</v>
      </c>
      <c r="C4" s="130"/>
      <c r="D4" s="130"/>
      <c r="E4" s="130"/>
      <c r="F4" s="130"/>
    </row>
    <row r="5" spans="2:6" s="6" customFormat="1" ht="16" customHeight="1" x14ac:dyDescent="0.45">
      <c r="B5" s="127" t="s">
        <v>6</v>
      </c>
      <c r="C5" s="127"/>
      <c r="D5" s="150" t="str">
        <f>NUMERO_PROCESSO</f>
        <v>1.22.000.000988/2024-16</v>
      </c>
      <c r="E5" s="150"/>
      <c r="F5" s="150"/>
    </row>
    <row r="6" spans="2:6" s="6" customFormat="1" ht="15.75" customHeight="1" x14ac:dyDescent="0.45">
      <c r="B6" s="128" t="s">
        <v>173</v>
      </c>
      <c r="C6" s="128"/>
      <c r="D6" s="153" t="str">
        <f>MODALIDADE_DE_LICITACAO</f>
        <v>Pregão nº</v>
      </c>
      <c r="E6" s="153"/>
      <c r="F6" s="72" t="str">
        <f>NUMERO_PREGAO</f>
        <v>XX/2025</v>
      </c>
    </row>
    <row r="7" spans="2:6" s="6" customFormat="1" ht="15.75" customHeight="1" x14ac:dyDescent="0.45">
      <c r="B7" s="154" t="s">
        <v>174</v>
      </c>
      <c r="C7" s="154"/>
      <c r="D7" s="154"/>
      <c r="E7" s="154"/>
      <c r="F7" s="154"/>
    </row>
    <row r="8" spans="2:6" s="6" customFormat="1" ht="18" customHeight="1" x14ac:dyDescent="0.45">
      <c r="B8" s="10" t="s">
        <v>13</v>
      </c>
      <c r="C8" s="127" t="s">
        <v>14</v>
      </c>
      <c r="D8" s="127"/>
      <c r="E8" s="127"/>
      <c r="F8" s="73" t="str">
        <f>DATA_APRESENTACAO_PROPOSTA</f>
        <v>XX/XX/2025</v>
      </c>
    </row>
    <row r="9" spans="2:6" s="6" customFormat="1" ht="16" customHeight="1" x14ac:dyDescent="0.3">
      <c r="B9" s="12" t="s">
        <v>15</v>
      </c>
      <c r="C9" s="13" t="s">
        <v>16</v>
      </c>
      <c r="D9" s="155" t="str">
        <f>IF(LOCAL_DE_EXECUCAO="","",LOCAL_DE_EXECUCAO)</f>
        <v>PRAP</v>
      </c>
      <c r="E9" s="155"/>
      <c r="F9" s="155"/>
    </row>
    <row r="10" spans="2:6" s="6" customFormat="1" ht="18.75" customHeight="1" x14ac:dyDescent="0.45">
      <c r="B10" s="10" t="s">
        <v>18</v>
      </c>
      <c r="C10" s="127" t="s">
        <v>175</v>
      </c>
      <c r="D10" s="127"/>
      <c r="E10" s="127"/>
      <c r="F10" s="75" t="str">
        <f>ACORDO_COLETIVO</f>
        <v>AP000003/2025</v>
      </c>
    </row>
    <row r="11" spans="2:6" s="6" customFormat="1" ht="16" customHeight="1" x14ac:dyDescent="0.45">
      <c r="B11" s="12" t="s">
        <v>21</v>
      </c>
      <c r="C11" s="138" t="s">
        <v>25</v>
      </c>
      <c r="D11" s="138"/>
      <c r="E11" s="138"/>
      <c r="F11" s="39">
        <f>NUMERO_MESES_EXEC_CONTRATUAL</f>
        <v>24</v>
      </c>
    </row>
    <row r="12" spans="2:6" s="6" customFormat="1" x14ac:dyDescent="0.45">
      <c r="B12" s="12" t="s">
        <v>24</v>
      </c>
      <c r="C12" s="152" t="s">
        <v>176</v>
      </c>
      <c r="D12" s="152"/>
      <c r="E12" s="152"/>
      <c r="F12" s="15">
        <f>IF(QTDE_POSTOS="","",QTDE_POSTOS)</f>
        <v>3</v>
      </c>
    </row>
    <row r="13" spans="2:6" s="76" customFormat="1" ht="15" customHeight="1" x14ac:dyDescent="0.25">
      <c r="B13" s="77" t="s">
        <v>38</v>
      </c>
      <c r="C13" s="78"/>
      <c r="D13" s="78"/>
      <c r="E13" s="78"/>
      <c r="F13" s="78"/>
    </row>
    <row r="14" spans="2:6" s="6" customFormat="1" x14ac:dyDescent="0.45">
      <c r="B14" s="10">
        <v>1</v>
      </c>
      <c r="C14" s="127" t="s">
        <v>177</v>
      </c>
      <c r="D14" s="127"/>
      <c r="E14" s="150" t="str">
        <f>IF(TIPO_DE_SERVICO="","",TIPO_DE_SERVICO)</f>
        <v>Limpeza e Conservação</v>
      </c>
      <c r="F14" s="150"/>
    </row>
    <row r="15" spans="2:6" s="6" customFormat="1" x14ac:dyDescent="0.45">
      <c r="B15" s="10">
        <v>2</v>
      </c>
      <c r="C15" s="24" t="s">
        <v>34</v>
      </c>
      <c r="D15" s="149" t="str">
        <f>IF(CBO="","",CBO)</f>
        <v>5143-20</v>
      </c>
      <c r="E15" s="149"/>
      <c r="F15" s="149"/>
    </row>
    <row r="16" spans="2:6" s="6" customFormat="1" ht="15" customHeight="1" x14ac:dyDescent="0.45">
      <c r="B16" s="10">
        <v>3</v>
      </c>
      <c r="C16" s="23" t="s">
        <v>35</v>
      </c>
      <c r="D16" s="150" t="str">
        <f>IF(CATEGORIA_PROFISSIONAL="","",CATEGORIA_PROFISSIONAL)</f>
        <v>Servente de Limpeza</v>
      </c>
      <c r="E16" s="150"/>
      <c r="F16" s="150"/>
    </row>
    <row r="17" spans="2:6" s="6" customFormat="1" ht="15" customHeight="1" x14ac:dyDescent="0.45">
      <c r="B17" s="10">
        <v>4</v>
      </c>
      <c r="C17" s="128" t="s">
        <v>36</v>
      </c>
      <c r="D17" s="128"/>
      <c r="E17" s="128"/>
      <c r="F17" s="79">
        <f>DATA_BASE_CATEGORIA</f>
        <v>45658</v>
      </c>
    </row>
    <row r="18" spans="2:6" s="80" customFormat="1" ht="20.25" customHeight="1" x14ac:dyDescent="0.45">
      <c r="B18" s="151" t="s">
        <v>178</v>
      </c>
      <c r="C18" s="151"/>
      <c r="D18" s="151"/>
      <c r="E18" s="151"/>
      <c r="F18" s="151"/>
    </row>
    <row r="19" spans="2:6" x14ac:dyDescent="0.45">
      <c r="B19" s="121" t="s">
        <v>179</v>
      </c>
      <c r="C19" s="121"/>
      <c r="D19" s="121"/>
      <c r="E19" s="121"/>
      <c r="F19" s="81">
        <f>IF(EMPREG_POR_POSTO="","",EMPREG_POR_POSTO)</f>
        <v>1</v>
      </c>
    </row>
    <row r="20" spans="2:6" x14ac:dyDescent="0.45">
      <c r="B20" s="30" t="s">
        <v>39</v>
      </c>
      <c r="E20" s="31"/>
      <c r="F20" s="31"/>
    </row>
    <row r="21" spans="2:6" ht="16.5" customHeight="1" x14ac:dyDescent="0.45">
      <c r="B21" s="12">
        <v>1</v>
      </c>
      <c r="C21" s="125" t="s">
        <v>40</v>
      </c>
      <c r="D21" s="125"/>
      <c r="E21" s="125"/>
      <c r="F21" s="32" t="s">
        <v>80</v>
      </c>
    </row>
    <row r="22" spans="2:6" ht="16.5" customHeight="1" x14ac:dyDescent="0.45">
      <c r="B22" s="12" t="s">
        <v>13</v>
      </c>
      <c r="C22" s="122" t="s">
        <v>180</v>
      </c>
      <c r="D22" s="122"/>
      <c r="E22" s="122"/>
      <c r="F22" s="82">
        <f>SALARIO_BASE</f>
        <v>1544.6</v>
      </c>
    </row>
    <row r="23" spans="2:6" ht="16.5" customHeight="1" x14ac:dyDescent="0.45">
      <c r="B23" s="12" t="s">
        <v>15</v>
      </c>
      <c r="C23" s="115" t="s">
        <v>181</v>
      </c>
      <c r="D23" s="115"/>
      <c r="E23" s="115"/>
      <c r="F23" s="83">
        <f>PERC_ADIC_PERIC%*SALARIO_BASE</f>
        <v>0</v>
      </c>
    </row>
    <row r="24" spans="2:6" ht="15.75" customHeight="1" x14ac:dyDescent="0.45">
      <c r="B24" s="12" t="s">
        <v>18</v>
      </c>
      <c r="C24" s="148" t="s">
        <v>182</v>
      </c>
      <c r="D24" s="148"/>
      <c r="E24" s="148"/>
      <c r="F24" s="82">
        <f>((AL_1_A_SAL_BASE+AL_1_B_ADIC_PERIC)/DIVISOR_DE_HORAS)*DIAS_NA_SEMANA*MEDIA_ANUAL_DIAS_TRABALHO_MES*PERC_ADIC_NOT%</f>
        <v>0</v>
      </c>
    </row>
    <row r="25" spans="2:6" ht="15.75" customHeight="1" x14ac:dyDescent="0.45">
      <c r="B25" s="12" t="s">
        <v>21</v>
      </c>
      <c r="C25" s="115" t="s">
        <v>183</v>
      </c>
      <c r="D25" s="115"/>
      <c r="E25" s="115"/>
      <c r="F25" s="83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5">
      <c r="B26" s="12" t="s">
        <v>24</v>
      </c>
      <c r="C26" s="116" t="s">
        <v>184</v>
      </c>
      <c r="D26" s="116"/>
      <c r="E26" s="116"/>
      <c r="F26" s="82">
        <f>PERC_ADIC_INS%*SAL_MINIMO</f>
        <v>0</v>
      </c>
    </row>
    <row r="27" spans="2:6" x14ac:dyDescent="0.45">
      <c r="B27" s="12" t="s">
        <v>47</v>
      </c>
      <c r="C27" s="129" t="str">
        <f>OUTROS_REMUNERACAO_1_DESCRICAO</f>
        <v>Outras Remunerações 1 (Especificar)</v>
      </c>
      <c r="D27" s="129"/>
      <c r="E27" s="129"/>
      <c r="F27" s="83">
        <f>OUTROS_REMUNERACAO_1</f>
        <v>0</v>
      </c>
    </row>
    <row r="28" spans="2:6" x14ac:dyDescent="0.45">
      <c r="B28" s="12" t="s">
        <v>49</v>
      </c>
      <c r="C28" s="122" t="str">
        <f>OUTROS_REMUNERACAO_2_DESCRICAO</f>
        <v>Outras Remunerações 2 (Especificar)</v>
      </c>
      <c r="D28" s="122"/>
      <c r="E28" s="122"/>
      <c r="F28" s="82">
        <f>OUTROS_REMUNERACAO_2</f>
        <v>0</v>
      </c>
    </row>
    <row r="29" spans="2:6" x14ac:dyDescent="0.45">
      <c r="B29" s="12" t="s">
        <v>124</v>
      </c>
      <c r="C29" s="129" t="str">
        <f>OUTROS_REMUNERACAO_3_DESCRICAO</f>
        <v>Outras Remunerações 3 (Especificar)</v>
      </c>
      <c r="D29" s="129"/>
      <c r="E29" s="129"/>
      <c r="F29" s="83">
        <f>OUTROS_REMUNERACAO_3</f>
        <v>0</v>
      </c>
    </row>
    <row r="30" spans="2:6" ht="16.5" customHeight="1" x14ac:dyDescent="0.45">
      <c r="B30" s="125" t="s">
        <v>149</v>
      </c>
      <c r="C30" s="125"/>
      <c r="D30" s="125"/>
      <c r="E30" s="125"/>
      <c r="F30" s="84">
        <f>SUM(F22:F29)</f>
        <v>1544.6</v>
      </c>
    </row>
    <row r="31" spans="2:6" x14ac:dyDescent="0.45">
      <c r="B31" s="30" t="s">
        <v>51</v>
      </c>
      <c r="E31" s="36"/>
      <c r="F31" s="36"/>
    </row>
    <row r="32" spans="2:6" x14ac:dyDescent="0.45">
      <c r="B32" s="30" t="s">
        <v>130</v>
      </c>
      <c r="C32" s="42"/>
      <c r="D32" s="43"/>
      <c r="E32" s="44"/>
      <c r="F32" s="44"/>
    </row>
    <row r="33" spans="2:6" x14ac:dyDescent="0.45">
      <c r="B33" s="12" t="s">
        <v>131</v>
      </c>
      <c r="C33" s="121" t="s">
        <v>132</v>
      </c>
      <c r="D33" s="121"/>
      <c r="E33" s="32" t="s">
        <v>70</v>
      </c>
      <c r="F33" s="32" t="s">
        <v>80</v>
      </c>
    </row>
    <row r="34" spans="2:6" ht="16.5" customHeight="1" x14ac:dyDescent="0.45">
      <c r="B34" s="12" t="s">
        <v>13</v>
      </c>
      <c r="C34" s="116" t="s">
        <v>134</v>
      </c>
      <c r="D34" s="116"/>
      <c r="E34" s="65">
        <f>PERC_DEC_TERC</f>
        <v>8.3333333333333321</v>
      </c>
      <c r="F34" s="62">
        <f>PERC_DEC_TERC%*MOD_1_REMUNERACAO</f>
        <v>128.71666666666664</v>
      </c>
    </row>
    <row r="35" spans="2:6" ht="16.5" customHeight="1" x14ac:dyDescent="0.45">
      <c r="B35" s="32" t="s">
        <v>15</v>
      </c>
      <c r="C35" s="115" t="s">
        <v>136</v>
      </c>
      <c r="D35" s="115"/>
      <c r="E35" s="66">
        <f>PERC_ADIC_FERIAS</f>
        <v>2.7777777777777777</v>
      </c>
      <c r="F35" s="63">
        <f>PERC_ADIC_FERIAS%*MOD_1_REMUNERACAO</f>
        <v>42.905555555555551</v>
      </c>
    </row>
    <row r="36" spans="2:6" s="35" customFormat="1" x14ac:dyDescent="0.45">
      <c r="B36" s="121" t="s">
        <v>149</v>
      </c>
      <c r="C36" s="121"/>
      <c r="D36" s="121"/>
      <c r="E36" s="121"/>
      <c r="F36" s="85">
        <f>SUM(F34:F35)</f>
        <v>171.62222222222221</v>
      </c>
    </row>
    <row r="37" spans="2:6" s="35" customFormat="1" ht="31.5" customHeight="1" x14ac:dyDescent="0.45">
      <c r="B37" s="147" t="s">
        <v>138</v>
      </c>
      <c r="C37" s="147"/>
      <c r="D37" s="147"/>
      <c r="E37" s="147"/>
      <c r="F37" s="147"/>
    </row>
    <row r="38" spans="2:6" s="35" customFormat="1" ht="34.5" customHeight="1" x14ac:dyDescent="0.45">
      <c r="B38" s="12" t="s">
        <v>139</v>
      </c>
      <c r="C38" s="142" t="s">
        <v>140</v>
      </c>
      <c r="D38" s="142"/>
      <c r="E38" s="32" t="s">
        <v>70</v>
      </c>
      <c r="F38" s="32" t="s">
        <v>80</v>
      </c>
    </row>
    <row r="39" spans="2:6" ht="16.5" customHeight="1" x14ac:dyDescent="0.45">
      <c r="B39" s="12" t="s">
        <v>13</v>
      </c>
      <c r="C39" s="116" t="s">
        <v>141</v>
      </c>
      <c r="D39" s="116"/>
      <c r="E39" s="65">
        <f>PERC_INSS</f>
        <v>20</v>
      </c>
      <c r="F39" s="62">
        <f>PERC_INSS%*(MOD_1_REMUNERACAO+SUBMOD_2_1_DEC_TERC_ADIC_FERIAS)</f>
        <v>343.24444444444447</v>
      </c>
    </row>
    <row r="40" spans="2:6" s="6" customFormat="1" ht="16.5" customHeight="1" x14ac:dyDescent="0.3">
      <c r="B40" s="32" t="s">
        <v>15</v>
      </c>
      <c r="C40" s="115" t="s">
        <v>142</v>
      </c>
      <c r="D40" s="115"/>
      <c r="E40" s="67">
        <f>PERC_SAL_EDUCACAO</f>
        <v>2.5</v>
      </c>
      <c r="F40" s="63">
        <f>PERC_SAL_EDUCACAO%*(MOD_1_REMUNERACAO+SUBMOD_2_1_DEC_TERC_ADIC_FERIAS)</f>
        <v>42.905555555555559</v>
      </c>
    </row>
    <row r="41" spans="2:6" s="6" customFormat="1" ht="16.5" customHeight="1" x14ac:dyDescent="0.3">
      <c r="B41" s="32" t="s">
        <v>18</v>
      </c>
      <c r="C41" s="116" t="s">
        <v>143</v>
      </c>
      <c r="D41" s="116"/>
      <c r="E41" s="65">
        <f>PERC_RAT</f>
        <v>3</v>
      </c>
      <c r="F41" s="62">
        <f>PERC_RAT%*(MOD_1_REMUNERACAO+SUBMOD_2_1_DEC_TERC_ADIC_FERIAS)</f>
        <v>51.486666666666665</v>
      </c>
    </row>
    <row r="42" spans="2:6" s="6" customFormat="1" ht="16.5" customHeight="1" x14ac:dyDescent="0.3">
      <c r="B42" s="32" t="s">
        <v>21</v>
      </c>
      <c r="C42" s="115" t="s">
        <v>144</v>
      </c>
      <c r="D42" s="115"/>
      <c r="E42" s="66">
        <f>PERC_SESC</f>
        <v>1.5</v>
      </c>
      <c r="F42" s="63">
        <f>PERC_SESC%*(MOD_1_REMUNERACAO+SUBMOD_2_1_DEC_TERC_ADIC_FERIAS)</f>
        <v>25.743333333333332</v>
      </c>
    </row>
    <row r="43" spans="2:6" s="6" customFormat="1" ht="16.5" customHeight="1" x14ac:dyDescent="0.3">
      <c r="B43" s="32" t="s">
        <v>24</v>
      </c>
      <c r="C43" s="116" t="s">
        <v>145</v>
      </c>
      <c r="D43" s="116"/>
      <c r="E43" s="65">
        <f>PERC_SENAC</f>
        <v>1</v>
      </c>
      <c r="F43" s="62">
        <f>PERC_SENAC%*(MOD_1_REMUNERACAO+SUBMOD_2_1_DEC_TERC_ADIC_FERIAS)</f>
        <v>17.162222222222223</v>
      </c>
    </row>
    <row r="44" spans="2:6" s="6" customFormat="1" ht="16.5" customHeight="1" x14ac:dyDescent="0.3">
      <c r="B44" s="32" t="s">
        <v>47</v>
      </c>
      <c r="C44" s="115" t="s">
        <v>146</v>
      </c>
      <c r="D44" s="115"/>
      <c r="E44" s="67">
        <f>PERC_SEBRAE</f>
        <v>0.6</v>
      </c>
      <c r="F44" s="63">
        <f>PERC_SEBRAE%*(MOD_1_REMUNERACAO+SUBMOD_2_1_DEC_TERC_ADIC_FERIAS)</f>
        <v>10.297333333333333</v>
      </c>
    </row>
    <row r="45" spans="2:6" s="6" customFormat="1" ht="16.5" customHeight="1" x14ac:dyDescent="0.3">
      <c r="B45" s="32" t="s">
        <v>49</v>
      </c>
      <c r="C45" s="116" t="s">
        <v>147</v>
      </c>
      <c r="D45" s="116"/>
      <c r="E45" s="65">
        <f>PERC_INCRA</f>
        <v>0.2</v>
      </c>
      <c r="F45" s="62">
        <f>PERC_INCRA%*(MOD_1_REMUNERACAO+SUBMOD_2_1_DEC_TERC_ADIC_FERIAS)</f>
        <v>3.4324444444444446</v>
      </c>
    </row>
    <row r="46" spans="2:6" ht="16.5" customHeight="1" x14ac:dyDescent="0.45">
      <c r="B46" s="32" t="s">
        <v>124</v>
      </c>
      <c r="C46" s="115" t="s">
        <v>148</v>
      </c>
      <c r="D46" s="115"/>
      <c r="E46" s="67">
        <f>PERC_FGTS</f>
        <v>8</v>
      </c>
      <c r="F46" s="63">
        <f>PERC_FGTS%*(MOD_1_REMUNERACAO+SUBMOD_2_1_DEC_TERC_ADIC_FERIAS)</f>
        <v>137.29777777777778</v>
      </c>
    </row>
    <row r="47" spans="2:6" x14ac:dyDescent="0.45">
      <c r="B47" s="121" t="s">
        <v>149</v>
      </c>
      <c r="C47" s="121"/>
      <c r="D47" s="121"/>
      <c r="E47" s="121"/>
      <c r="F47" s="86">
        <f>SUM(F39:F46)</f>
        <v>631.56977777777786</v>
      </c>
    </row>
    <row r="48" spans="2:6" ht="15.75" customHeight="1" x14ac:dyDescent="0.45">
      <c r="B48" s="30" t="s">
        <v>52</v>
      </c>
      <c r="C48" s="6"/>
      <c r="D48" s="6"/>
      <c r="E48" s="6"/>
      <c r="F48" s="6"/>
    </row>
    <row r="49" spans="2:6" ht="15.75" customHeight="1" x14ac:dyDescent="0.45">
      <c r="B49" s="12" t="s">
        <v>53</v>
      </c>
      <c r="C49" s="125" t="s">
        <v>54</v>
      </c>
      <c r="D49" s="125"/>
      <c r="E49" s="125"/>
      <c r="F49" s="32" t="s">
        <v>80</v>
      </c>
    </row>
    <row r="50" spans="2:6" ht="16.399999999999999" customHeight="1" x14ac:dyDescent="0.45">
      <c r="B50" s="10" t="s">
        <v>13</v>
      </c>
      <c r="C50" s="116" t="s">
        <v>57</v>
      </c>
      <c r="D50" s="116"/>
      <c r="E50" s="116"/>
      <c r="F50" s="62">
        <f>IF(((TRANSPORTE_POR_DIA*DIAS_TRABALHADOS_NO_MES)-(PERC_DESC_TRANSP_REMUNERACAO%*(AL_1_A_SAL_BASE)))&gt;0,((TRANSPORTE_POR_DIA*DIAS_TRABALHADOS_NO_MES)-(PERC_DESC_TRANSP_REMUNERACAO%*(AL_1_A_SAL_BASE))),0)</f>
        <v>70.124000000000024</v>
      </c>
    </row>
    <row r="51" spans="2:6" s="35" customFormat="1" ht="16.399999999999999" customHeight="1" x14ac:dyDescent="0.45">
      <c r="B51" s="10" t="s">
        <v>15</v>
      </c>
      <c r="C51" s="115" t="s">
        <v>59</v>
      </c>
      <c r="D51" s="115"/>
      <c r="E51" s="115"/>
      <c r="F51" s="63">
        <f>ALIMENTACAO_POR_DIA*DIAS_TRABALHADOS_NO_MES</f>
        <v>594</v>
      </c>
    </row>
    <row r="52" spans="2:6" s="35" customFormat="1" x14ac:dyDescent="0.45">
      <c r="B52" s="10" t="s">
        <v>18</v>
      </c>
      <c r="C52" s="122" t="str">
        <f>OUTROS_BENEFICIOS_1_DESCRICAO</f>
        <v>Benefício Social (CCT, Cláusula 15ª)</v>
      </c>
      <c r="D52" s="122"/>
      <c r="E52" s="122"/>
      <c r="F52" s="62">
        <v>20.79</v>
      </c>
    </row>
    <row r="53" spans="2:6" s="35" customFormat="1" x14ac:dyDescent="0.45">
      <c r="B53" s="10" t="s">
        <v>21</v>
      </c>
      <c r="C53" s="129" t="str">
        <f>OUTROS_BENEFICIOS_2_DESCRICAO</f>
        <v>Outros Benefícios 2</v>
      </c>
      <c r="D53" s="129"/>
      <c r="E53" s="129"/>
      <c r="F53" s="63">
        <f>OUTROS_BENEFICIOS_2/MESES_NO_ANO</f>
        <v>0</v>
      </c>
    </row>
    <row r="54" spans="2:6" s="35" customFormat="1" x14ac:dyDescent="0.45">
      <c r="B54" s="10" t="s">
        <v>24</v>
      </c>
      <c r="C54" s="122" t="str">
        <f>OUTROS_BENEFICIOS_3_DESCRICAO</f>
        <v>Outros Benefícios 3</v>
      </c>
      <c r="D54" s="122"/>
      <c r="E54" s="122"/>
      <c r="F54" s="62">
        <f>OUTROS_BENEFICIOS_3</f>
        <v>0</v>
      </c>
    </row>
    <row r="55" spans="2:6" s="35" customFormat="1" ht="16.399999999999999" customHeight="1" x14ac:dyDescent="0.45">
      <c r="B55" s="10" t="s">
        <v>47</v>
      </c>
      <c r="C55" s="129" t="s">
        <v>185</v>
      </c>
      <c r="D55" s="129"/>
      <c r="E55" s="129"/>
      <c r="F55" s="63">
        <f>'INSERÇÃO-DE-DADOS'!F47/MESES_NO_ANO</f>
        <v>0</v>
      </c>
    </row>
    <row r="56" spans="2:6" s="35" customFormat="1" ht="15" customHeight="1" x14ac:dyDescent="0.45">
      <c r="B56" s="125" t="s">
        <v>149</v>
      </c>
      <c r="C56" s="125"/>
      <c r="D56" s="125"/>
      <c r="E56" s="125"/>
      <c r="F56" s="84">
        <f>SUM(F50:F55)</f>
        <v>684.91399999999999</v>
      </c>
    </row>
    <row r="57" spans="2:6" s="35" customFormat="1" x14ac:dyDescent="0.45">
      <c r="B57" s="30" t="s">
        <v>109</v>
      </c>
      <c r="C57" s="42"/>
      <c r="D57" s="43"/>
      <c r="E57" s="44"/>
      <c r="F57" s="44"/>
    </row>
    <row r="58" spans="2:6" s="35" customFormat="1" ht="15" customHeight="1" x14ac:dyDescent="0.45">
      <c r="B58" s="12">
        <v>3</v>
      </c>
      <c r="C58" s="121" t="s">
        <v>110</v>
      </c>
      <c r="D58" s="121"/>
      <c r="E58" s="32" t="s">
        <v>70</v>
      </c>
      <c r="F58" s="32" t="s">
        <v>80</v>
      </c>
    </row>
    <row r="59" spans="2:6" s="35" customFormat="1" x14ac:dyDescent="0.45">
      <c r="B59" s="12" t="s">
        <v>13</v>
      </c>
      <c r="C59" s="140" t="s">
        <v>150</v>
      </c>
      <c r="D59" s="140"/>
      <c r="E59" s="65">
        <f>PERC_AVISO_PREVIO_IND</f>
        <v>0.26011000000000001</v>
      </c>
      <c r="F59" s="62">
        <f>PERC_AVISO_PREVIO_IND%*(MOD_1_REMUNERACAO+SUBMOD_2_1_DEC_TERC_ADIC_FERIAS+AL_2_2_FGTS+SUBMOD_2_3_BENEFICIOS)</f>
        <v>6.6027206774000016</v>
      </c>
    </row>
    <row r="60" spans="2:6" s="35" customFormat="1" x14ac:dyDescent="0.45">
      <c r="B60" s="32" t="s">
        <v>15</v>
      </c>
      <c r="C60" s="139" t="s">
        <v>152</v>
      </c>
      <c r="D60" s="139"/>
      <c r="E60" s="67">
        <f>PERC_FGTS_AVISO_PREV_IND</f>
        <v>2.0808800000000002E-2</v>
      </c>
      <c r="F60" s="63">
        <f>PERC_FGTS_AVISO_PREV_IND%*(MOD_1_REMUNERACAO+SUBMOD_2_1_DEC_TERC_ADIC_FERIAS)</f>
        <v>0.35712524977777782</v>
      </c>
    </row>
    <row r="61" spans="2:6" s="6" customFormat="1" ht="34.5" customHeight="1" x14ac:dyDescent="0.3">
      <c r="B61" s="32" t="s">
        <v>18</v>
      </c>
      <c r="C61" s="140" t="s">
        <v>154</v>
      </c>
      <c r="D61" s="140"/>
      <c r="E61" s="65">
        <f>PERC_MULTA_FGTS_AV_PREV_IND</f>
        <v>8.3235200000000009E-3</v>
      </c>
      <c r="F61" s="62">
        <f>PERC_MULTA_FGTS_AV_PREV_IND%*(MOD_1_REMUNERACAO+SUBMOD_2_1_DEC_TERC_ADIC_FERIAS)</f>
        <v>0.14285009991111114</v>
      </c>
    </row>
    <row r="62" spans="2:6" s="35" customFormat="1" x14ac:dyDescent="0.45">
      <c r="B62" s="32" t="s">
        <v>21</v>
      </c>
      <c r="C62" s="139" t="s">
        <v>156</v>
      </c>
      <c r="D62" s="139"/>
      <c r="E62" s="67">
        <f>PERC_AVISO_PREVIO_TRAB</f>
        <v>1.0328632222222223</v>
      </c>
      <c r="F62" s="63">
        <f>PERC_AVISO_PREVIO_TRAB%*(MOD_1_REMUNERACAO+SUBMOD_2_1_DEC_TERC_ADIC_FERIAS+SUBMOD_2_2_GPS_FGTS+SUBMOD_2_3_BENEFICIOS)</f>
        <v>31.323704912126669</v>
      </c>
    </row>
    <row r="63" spans="2:6" s="6" customFormat="1" ht="35.25" customHeight="1" x14ac:dyDescent="0.3">
      <c r="B63" s="32" t="s">
        <v>24</v>
      </c>
      <c r="C63" s="140" t="s">
        <v>158</v>
      </c>
      <c r="D63" s="140"/>
      <c r="E63" s="65">
        <f>PERC_GPS_FGTS_AVISO_PREVIO_TRAB</f>
        <v>0.38009366577777776</v>
      </c>
      <c r="F63" s="62">
        <f>PERC_GPS_FGTS_AVISO_PREVIO_TRAB%*(MOD_1_REMUNERACAO+SUBMOD_2_1_DEC_TERC_ADIC_FERIAS)</f>
        <v>6.5232519573372834</v>
      </c>
    </row>
    <row r="64" spans="2:6" s="6" customFormat="1" ht="32.25" customHeight="1" x14ac:dyDescent="0.3">
      <c r="B64" s="32" t="s">
        <v>47</v>
      </c>
      <c r="C64" s="139" t="s">
        <v>160</v>
      </c>
      <c r="D64" s="139"/>
      <c r="E64" s="67">
        <f>PERC_MULTA_FGTS_AV_PREV_TRAB</f>
        <v>0.04</v>
      </c>
      <c r="F64" s="63">
        <f>PERC_MULTA_FGTS_AV_PREV_TRAB%*(MOD_1_REMUNERACAO+SUBMOD_2_1_DEC_TERC_ADIC_FERIAS)</f>
        <v>0.68648888888888893</v>
      </c>
    </row>
    <row r="65" spans="2:6" s="6" customFormat="1" x14ac:dyDescent="0.45">
      <c r="B65" s="121" t="s">
        <v>149</v>
      </c>
      <c r="C65" s="121"/>
      <c r="D65" s="121"/>
      <c r="E65" s="121"/>
      <c r="F65" s="85">
        <f>SUM(F59:F64)</f>
        <v>45.636141785441737</v>
      </c>
    </row>
    <row r="66" spans="2:6" ht="7.5" customHeight="1" x14ac:dyDescent="0.45">
      <c r="B66" s="87"/>
      <c r="D66" s="22"/>
      <c r="E66" s="31"/>
      <c r="F66" s="31"/>
    </row>
    <row r="67" spans="2:6" s="6" customFormat="1" ht="16" customHeight="1" x14ac:dyDescent="0.45">
      <c r="B67" s="30" t="s">
        <v>66</v>
      </c>
      <c r="C67" s="42"/>
      <c r="D67" s="43"/>
      <c r="E67" s="3"/>
      <c r="F67" s="3"/>
    </row>
    <row r="68" spans="2:6" s="6" customFormat="1" ht="16" customHeight="1" x14ac:dyDescent="0.45">
      <c r="B68" s="30" t="s">
        <v>67</v>
      </c>
      <c r="C68" s="42"/>
      <c r="D68" s="43"/>
      <c r="E68" s="44"/>
      <c r="F68" s="44"/>
    </row>
    <row r="69" spans="2:6" s="6" customFormat="1" ht="16.5" customHeight="1" x14ac:dyDescent="0.3">
      <c r="B69" s="12" t="s">
        <v>68</v>
      </c>
      <c r="C69" s="125" t="s">
        <v>69</v>
      </c>
      <c r="D69" s="125"/>
      <c r="E69" s="32" t="s">
        <v>70</v>
      </c>
      <c r="F69" s="32" t="s">
        <v>80</v>
      </c>
    </row>
    <row r="70" spans="2:6" s="6" customFormat="1" ht="16" customHeight="1" x14ac:dyDescent="0.3">
      <c r="B70" s="32" t="s">
        <v>13</v>
      </c>
      <c r="C70" s="116" t="s">
        <v>162</v>
      </c>
      <c r="D70" s="116"/>
      <c r="E70" s="65">
        <f>PERC_SUBSTITUTO_FERIAS</f>
        <v>8.3333333333333321</v>
      </c>
      <c r="F70" s="62">
        <f>PERC_SUBSTITUTO_FERIAS%*(MOD_1_REMUNERACAO+MOD_2_ENCARGOS_BENEFICIOS+MOD_3_PROVISAO_RESCISAO)</f>
        <v>256.52851181545344</v>
      </c>
    </row>
    <row r="71" spans="2:6" s="6" customFormat="1" ht="16" customHeight="1" x14ac:dyDescent="0.3">
      <c r="B71" s="32" t="s">
        <v>15</v>
      </c>
      <c r="C71" s="115" t="s">
        <v>164</v>
      </c>
      <c r="D71" s="115"/>
      <c r="E71" s="67">
        <f>PERC_SUBSTITUTO_AUSENCIAS_LEGAIS</f>
        <v>2.2222222222222223</v>
      </c>
      <c r="F71" s="63">
        <f>PERC_SUBSTITUTO_AUSENCIAS_LEGAIS%*(MOD_1_REMUNERACAO+MOD_2_ENCARGOS_BENEFICIOS+MOD_3_PROVISAO_RESCISAO)</f>
        <v>68.407603150787608</v>
      </c>
    </row>
    <row r="72" spans="2:6" s="6" customFormat="1" ht="16" customHeight="1" x14ac:dyDescent="0.3">
      <c r="B72" s="32" t="s">
        <v>18</v>
      </c>
      <c r="C72" s="116" t="s">
        <v>166</v>
      </c>
      <c r="D72" s="116"/>
      <c r="E72" s="65">
        <f>PERC_SUBSTITUTO_LICENCA_PATERNIDADE</f>
        <v>3.5673555555555549E-2</v>
      </c>
      <c r="F72" s="62">
        <f>PERC_SUBSTITUTO_LICENCA_PATERNIDADE%*(MOD_1_REMUNERACAO+MOD_2_ENCARGOS_BENEFICIOS+MOD_3_PROVISAO_RESCISAO)</f>
        <v>1.0981540941399082</v>
      </c>
    </row>
    <row r="73" spans="2:6" s="6" customFormat="1" ht="16.5" customHeight="1" x14ac:dyDescent="0.3">
      <c r="B73" s="32" t="s">
        <v>21</v>
      </c>
      <c r="C73" s="115" t="s">
        <v>168</v>
      </c>
      <c r="D73" s="115"/>
      <c r="E73" s="67">
        <f>PERC_SUBSTITUTO_ACID_TRAB</f>
        <v>1.85302229372558E-2</v>
      </c>
      <c r="F73" s="63">
        <f>PERC_SUBSTITUTO_ACID_TRAB%*(MOD_1_REMUNERACAO+MOD_2_ENCARGOS_BENEFICIOS+MOD_3_PROVISAO_RESCISAO)</f>
        <v>0.57042366164433733</v>
      </c>
    </row>
    <row r="74" spans="2:6" s="6" customFormat="1" ht="16.5" customHeight="1" x14ac:dyDescent="0.3">
      <c r="B74" s="32" t="s">
        <v>24</v>
      </c>
      <c r="C74" s="116" t="s">
        <v>170</v>
      </c>
      <c r="D74" s="116"/>
      <c r="E74" s="65">
        <f>PERC_SUBSTITUTO_AFAST_MATERN</f>
        <v>0.14312918399999999</v>
      </c>
      <c r="F74" s="62">
        <f>PERC_SUBSTITUTO_AFAST_MATERN%*(MOD_1_REMUNERACAO+MOD_2_ENCARGOS_BENEFICIOS+MOD_3_PROVISAO_RESCISAO)</f>
        <v>4.4060059882656262</v>
      </c>
    </row>
    <row r="75" spans="2:6" s="6" customFormat="1" x14ac:dyDescent="0.3">
      <c r="B75" s="32" t="s">
        <v>47</v>
      </c>
      <c r="C75" s="146" t="str">
        <f>OUTRAS_AUSENCIAS_DESCRICAO</f>
        <v>Outras Ausências (Especificar - em %)</v>
      </c>
      <c r="D75" s="146"/>
      <c r="E75" s="88">
        <f>PERC_SUBSTITUTO_OUTRAS_AUSENCIAS</f>
        <v>0</v>
      </c>
      <c r="F75" s="63">
        <f>PERC_SUBSTITUTO_OUTRAS_AUSENCIAS%*(MOD_1_REMUNERACAO+MOD_2_ENCARGOS_BENEFICIOS+MOD_3_PROVISAO_RESCISAO)</f>
        <v>0</v>
      </c>
    </row>
    <row r="76" spans="2:6" s="6" customFormat="1" x14ac:dyDescent="0.45">
      <c r="B76" s="121" t="s">
        <v>149</v>
      </c>
      <c r="C76" s="121"/>
      <c r="D76" s="121"/>
      <c r="E76" s="121"/>
      <c r="F76" s="85">
        <f>SUM(F70:F75)</f>
        <v>331.01069871029091</v>
      </c>
    </row>
    <row r="77" spans="2:6" s="6" customFormat="1" ht="15" customHeight="1" x14ac:dyDescent="0.45">
      <c r="B77" s="30" t="s">
        <v>72</v>
      </c>
      <c r="C77" s="42"/>
      <c r="D77" s="43"/>
      <c r="E77" s="44"/>
      <c r="F77" s="44"/>
    </row>
    <row r="78" spans="2:6" s="6" customFormat="1" x14ac:dyDescent="0.3">
      <c r="B78" s="12" t="s">
        <v>73</v>
      </c>
      <c r="C78" s="121" t="s">
        <v>74</v>
      </c>
      <c r="D78" s="121"/>
      <c r="E78" s="121"/>
      <c r="F78" s="32" t="s">
        <v>80</v>
      </c>
    </row>
    <row r="79" spans="2:6" s="6" customFormat="1" ht="16.5" customHeight="1" x14ac:dyDescent="0.3">
      <c r="B79" s="12" t="s">
        <v>13</v>
      </c>
      <c r="C79" s="116" t="s">
        <v>186</v>
      </c>
      <c r="D79" s="116"/>
      <c r="E79" s="116"/>
      <c r="F79" s="82">
        <f>IF(DIAS_TRABALHADOS_NO_MES=15,((MOD_1_REMUNERACAO+MOD_2_ENCARGOS_BENEFICIOS+MOD_3_PROVISAO_RESCISAO)/DIVISOR_DE_HORAS)*((TEMPO_INTERVALO_REFEICAO/HORA_NORMAL)+PERC_HORA_EXTRA%)*DIAS_TRABALHADOS_NO_MES,0)</f>
        <v>0</v>
      </c>
    </row>
    <row r="80" spans="2:6" s="6" customFormat="1" x14ac:dyDescent="0.45">
      <c r="B80" s="121" t="s">
        <v>149</v>
      </c>
      <c r="C80" s="121"/>
      <c r="D80" s="121"/>
      <c r="E80" s="121"/>
      <c r="F80" s="85">
        <f>SUM(F79)</f>
        <v>0</v>
      </c>
    </row>
    <row r="81" spans="2:6" ht="7.5" customHeight="1" x14ac:dyDescent="0.45">
      <c r="B81" s="87"/>
      <c r="D81" s="22"/>
      <c r="E81" s="31"/>
      <c r="F81" s="31"/>
    </row>
    <row r="82" spans="2:6" x14ac:dyDescent="0.45">
      <c r="B82" s="30" t="s">
        <v>78</v>
      </c>
      <c r="C82" s="42"/>
      <c r="D82" s="42"/>
      <c r="E82" s="44"/>
      <c r="F82" s="44"/>
    </row>
    <row r="83" spans="2:6" ht="15.75" customHeight="1" x14ac:dyDescent="0.45">
      <c r="B83" s="45">
        <v>5</v>
      </c>
      <c r="C83" s="123" t="s">
        <v>79</v>
      </c>
      <c r="D83" s="123"/>
      <c r="E83" s="123"/>
      <c r="F83" s="46" t="s">
        <v>80</v>
      </c>
    </row>
    <row r="84" spans="2:6" ht="16.5" customHeight="1" x14ac:dyDescent="0.45">
      <c r="B84" s="47" t="s">
        <v>13</v>
      </c>
      <c r="C84" s="118" t="s">
        <v>81</v>
      </c>
      <c r="D84" s="118"/>
      <c r="E84" s="118"/>
      <c r="F84" s="89">
        <f>UNIFORMES</f>
        <v>28.796666666666667</v>
      </c>
    </row>
    <row r="85" spans="2:6" ht="16.5" customHeight="1" x14ac:dyDescent="0.45">
      <c r="B85" s="47" t="s">
        <v>15</v>
      </c>
      <c r="C85" s="124" t="s">
        <v>82</v>
      </c>
      <c r="D85" s="124"/>
      <c r="E85" s="124"/>
      <c r="F85" s="90">
        <f>MATERIAIS</f>
        <v>0</v>
      </c>
    </row>
    <row r="86" spans="2:6" ht="16.5" customHeight="1" x14ac:dyDescent="0.45">
      <c r="B86" s="47" t="s">
        <v>18</v>
      </c>
      <c r="C86" s="118" t="s">
        <v>207</v>
      </c>
      <c r="D86" s="118"/>
      <c r="E86" s="118"/>
      <c r="F86" s="89">
        <f>EQUIPAMENTOS</f>
        <v>17.439999999999998</v>
      </c>
    </row>
    <row r="87" spans="2:6" x14ac:dyDescent="0.45">
      <c r="B87" s="47" t="s">
        <v>21</v>
      </c>
      <c r="C87" s="145" t="s">
        <v>208</v>
      </c>
      <c r="D87" s="145"/>
      <c r="E87" s="145"/>
      <c r="F87" s="90">
        <f>OUTROS_INSUMOS</f>
        <v>0</v>
      </c>
    </row>
    <row r="88" spans="2:6" ht="16.5" customHeight="1" x14ac:dyDescent="0.45">
      <c r="B88" s="123" t="s">
        <v>149</v>
      </c>
      <c r="C88" s="123"/>
      <c r="D88" s="123"/>
      <c r="E88" s="123"/>
      <c r="F88" s="91">
        <f>SUM(F84:F87)</f>
        <v>46.236666666666665</v>
      </c>
    </row>
    <row r="89" spans="2:6" ht="7.5" customHeight="1" x14ac:dyDescent="0.45">
      <c r="B89" s="87"/>
      <c r="D89" s="22"/>
      <c r="E89" s="31"/>
      <c r="F89" s="31"/>
    </row>
    <row r="90" spans="2:6" ht="15" customHeight="1" x14ac:dyDescent="0.45">
      <c r="B90" s="120" t="s">
        <v>83</v>
      </c>
      <c r="C90" s="120"/>
      <c r="D90" s="120"/>
      <c r="E90" s="120"/>
      <c r="F90" s="120"/>
    </row>
    <row r="91" spans="2:6" x14ac:dyDescent="0.45">
      <c r="B91" s="12">
        <v>6</v>
      </c>
      <c r="C91" s="121" t="s">
        <v>84</v>
      </c>
      <c r="D91" s="121"/>
      <c r="E91" s="32" t="s">
        <v>70</v>
      </c>
      <c r="F91" s="32" t="s">
        <v>80</v>
      </c>
    </row>
    <row r="92" spans="2:6" ht="16.5" customHeight="1" x14ac:dyDescent="0.45">
      <c r="B92" s="12" t="s">
        <v>13</v>
      </c>
      <c r="C92" s="116" t="s">
        <v>85</v>
      </c>
      <c r="D92" s="116"/>
      <c r="E92" s="92">
        <f>PERC_CUSTOS_INDIRETOS</f>
        <v>4.7300000000000004</v>
      </c>
      <c r="F92" s="62">
        <f>PERC_CUSTOS_INDIRETOS%*(MOD_1_REMUNERACAO+MOD_2_ENCARGOS_BENEFICIOS+MOD_3_PROVISAO_RESCISAO+MOD_4_CUSTO_REPOSICAO+MOD_5_INSUMOS)</f>
        <v>163.4493836887815</v>
      </c>
    </row>
    <row r="93" spans="2:6" ht="15.75" customHeight="1" x14ac:dyDescent="0.45">
      <c r="B93" s="32" t="s">
        <v>15</v>
      </c>
      <c r="C93" s="115" t="s">
        <v>86</v>
      </c>
      <c r="D93" s="115"/>
      <c r="E93" s="93">
        <f>PERC_LUCRO</f>
        <v>5.57</v>
      </c>
      <c r="F93" s="63">
        <f>PERC_LUCRO%*(MOD_1_REMUNERACAO+MOD_2_ENCARGOS_BENEFICIOS+MOD_3_PROVISAO_RESCISAO+MOD_4_CUSTO_REPOSICAO+MOD_5_INSUMOS+AL_6_A_CUSTOS_INDIRETOS)</f>
        <v>201.58046622041078</v>
      </c>
    </row>
    <row r="94" spans="2:6" ht="16.5" customHeight="1" x14ac:dyDescent="0.45">
      <c r="B94" s="32" t="s">
        <v>18</v>
      </c>
      <c r="C94" s="116" t="s">
        <v>187</v>
      </c>
      <c r="D94" s="116"/>
      <c r="E94" s="92">
        <f>SUM(E95:E97)</f>
        <v>8.65</v>
      </c>
      <c r="F94" s="62">
        <f>SUM(F95:F97)</f>
        <v>361.77731186282728</v>
      </c>
    </row>
    <row r="95" spans="2:6" ht="15.75" customHeight="1" x14ac:dyDescent="0.45">
      <c r="B95" s="53" t="s">
        <v>87</v>
      </c>
      <c r="C95" s="143" t="s">
        <v>88</v>
      </c>
      <c r="D95" s="143"/>
      <c r="E95" s="94">
        <f>PERC_PIS</f>
        <v>0.65</v>
      </c>
      <c r="F95" s="95">
        <f>((MOD_1_REMUNERACAO+MOD_2_ENCARGOS_BENEFICIOS+MOD_3_PROVISAO_RESCISAO+MOD_4_CUSTO_REPOSICAO+MOD_5_INSUMOS+AL_6_A_CUSTOS_INDIRETOS+AL_6_B_LUCRO)*PERC_PIS%)/(1-PERC_TRIBUTOS%)</f>
        <v>27.185578348073726</v>
      </c>
    </row>
    <row r="96" spans="2:6" ht="16.5" customHeight="1" x14ac:dyDescent="0.45">
      <c r="B96" s="53" t="s">
        <v>89</v>
      </c>
      <c r="C96" s="144" t="s">
        <v>90</v>
      </c>
      <c r="D96" s="144"/>
      <c r="E96" s="96">
        <f>PERC_COFINS</f>
        <v>3</v>
      </c>
      <c r="F96" s="97">
        <f>((MOD_1_REMUNERACAO+MOD_2_ENCARGOS_BENEFICIOS+MOD_3_PROVISAO_RESCISAO+MOD_4_CUSTO_REPOSICAO+MOD_5_INSUMOS+AL_6_A_CUSTOS_INDIRETOS+AL_6_B_LUCRO)*PERC_COFINS%)/(1-PERC_TRIBUTOS%)</f>
        <v>125.47190006803257</v>
      </c>
    </row>
    <row r="97" spans="2:6" s="49" customFormat="1" ht="16.5" customHeight="1" x14ac:dyDescent="0.45">
      <c r="B97" s="53" t="s">
        <v>91</v>
      </c>
      <c r="C97" s="143" t="s">
        <v>92</v>
      </c>
      <c r="D97" s="143"/>
      <c r="E97" s="94">
        <f>PERC_ISS</f>
        <v>5</v>
      </c>
      <c r="F97" s="95">
        <f>((MOD_1_REMUNERACAO+MOD_2_ENCARGOS_BENEFICIOS+MOD_3_PROVISAO_RESCISAO+MOD_4_CUSTO_REPOSICAO+MOD_5_INSUMOS+AL_6_A_CUSTOS_INDIRETOS+AL_6_B_LUCRO)*PERC_ISS%)/(1-PERC_TRIBUTOS%)</f>
        <v>209.11983344672097</v>
      </c>
    </row>
    <row r="98" spans="2:6" s="49" customFormat="1" x14ac:dyDescent="0.45">
      <c r="B98" s="121" t="s">
        <v>149</v>
      </c>
      <c r="C98" s="121"/>
      <c r="D98" s="121"/>
      <c r="E98" s="121"/>
      <c r="F98" s="98">
        <f>AL_6_A_CUSTOS_INDIRETOS+AL_6_B_LUCRO+AL_6_C_TRIBUTOS</f>
        <v>726.80716177201953</v>
      </c>
    </row>
    <row r="99" spans="2:6" s="49" customFormat="1" ht="21" x14ac:dyDescent="0.45">
      <c r="B99" s="99" t="s">
        <v>188</v>
      </c>
      <c r="C99" s="100"/>
      <c r="D99" s="100"/>
      <c r="E99" s="100"/>
      <c r="F99" s="101"/>
    </row>
    <row r="100" spans="2:6" s="50" customFormat="1" ht="16.5" customHeight="1" x14ac:dyDescent="0.45">
      <c r="B100" s="32" t="s">
        <v>189</v>
      </c>
      <c r="C100" s="125" t="s">
        <v>190</v>
      </c>
      <c r="D100" s="125"/>
      <c r="E100" s="125"/>
      <c r="F100" s="32" t="s">
        <v>191</v>
      </c>
    </row>
    <row r="101" spans="2:6" s="49" customFormat="1" ht="16.5" customHeight="1" x14ac:dyDescent="0.45">
      <c r="B101" s="12">
        <v>1</v>
      </c>
      <c r="C101" s="116" t="s">
        <v>40</v>
      </c>
      <c r="D101" s="116"/>
      <c r="E101" s="116"/>
      <c r="F101" s="62">
        <f>MOD_1_REMUNERACAO</f>
        <v>1544.6</v>
      </c>
    </row>
    <row r="102" spans="2:6" s="51" customFormat="1" ht="16.5" customHeight="1" x14ac:dyDescent="0.45">
      <c r="B102" s="32">
        <v>2</v>
      </c>
      <c r="C102" s="115" t="s">
        <v>192</v>
      </c>
      <c r="D102" s="115"/>
      <c r="E102" s="115"/>
      <c r="F102" s="63">
        <f>MOD_2_ENCARGOS_BENEFICIOS</f>
        <v>1488.106</v>
      </c>
    </row>
    <row r="103" spans="2:6" s="51" customFormat="1" ht="16.5" customHeight="1" x14ac:dyDescent="0.45">
      <c r="B103" s="32">
        <v>3</v>
      </c>
      <c r="C103" s="116" t="s">
        <v>110</v>
      </c>
      <c r="D103" s="116"/>
      <c r="E103" s="116"/>
      <c r="F103" s="62">
        <f>MOD_3_PROVISAO_RESCISAO</f>
        <v>45.636141785441737</v>
      </c>
    </row>
    <row r="104" spans="2:6" s="51" customFormat="1" ht="16.5" customHeight="1" x14ac:dyDescent="0.45">
      <c r="B104" s="32">
        <v>4</v>
      </c>
      <c r="C104" s="115" t="s">
        <v>193</v>
      </c>
      <c r="D104" s="115"/>
      <c r="E104" s="115"/>
      <c r="F104" s="63">
        <f>MOD_4_CUSTO_REPOSICAO</f>
        <v>331.01069871029091</v>
      </c>
    </row>
    <row r="105" spans="2:6" s="51" customFormat="1" ht="16.5" customHeight="1" x14ac:dyDescent="0.45">
      <c r="B105" s="32">
        <v>5</v>
      </c>
      <c r="C105" s="116" t="s">
        <v>79</v>
      </c>
      <c r="D105" s="116"/>
      <c r="E105" s="116"/>
      <c r="F105" s="62">
        <f>MOD_5_INSUMOS</f>
        <v>46.236666666666665</v>
      </c>
    </row>
    <row r="106" spans="2:6" s="51" customFormat="1" ht="16.5" customHeight="1" x14ac:dyDescent="0.45">
      <c r="B106" s="32">
        <v>6</v>
      </c>
      <c r="C106" s="115" t="s">
        <v>84</v>
      </c>
      <c r="D106" s="115"/>
      <c r="E106" s="115"/>
      <c r="F106" s="63">
        <f>MOD_6_CUSTOS_IND_LUCRO_TRIB</f>
        <v>726.80716177201953</v>
      </c>
    </row>
    <row r="107" spans="2:6" ht="16.5" customHeight="1" x14ac:dyDescent="0.45">
      <c r="B107" s="125" t="s">
        <v>194</v>
      </c>
      <c r="C107" s="125"/>
      <c r="D107" s="125"/>
      <c r="E107" s="125"/>
      <c r="F107" s="98">
        <f>SUM(F101:F106)</f>
        <v>4182.3966689344188</v>
      </c>
    </row>
    <row r="108" spans="2:6" ht="16.5" customHeight="1" x14ac:dyDescent="0.45">
      <c r="B108" s="125" t="s">
        <v>195</v>
      </c>
      <c r="C108" s="125"/>
      <c r="D108" s="125"/>
      <c r="E108" s="125"/>
      <c r="F108" s="98">
        <f>VALOR_TOTAL_EMPREGADO*EMPREG_POR_POSTO</f>
        <v>4182.3966689344188</v>
      </c>
    </row>
    <row r="109" spans="2:6" ht="16.5" customHeight="1" x14ac:dyDescent="0.45">
      <c r="B109" s="125" t="s">
        <v>196</v>
      </c>
      <c r="C109" s="125"/>
      <c r="D109" s="125"/>
      <c r="E109" s="125"/>
      <c r="F109" s="98">
        <f>VALOR_TOTAL_EMPREGADO*EMPREG_POR_POSTO*QTDE_POSTOS</f>
        <v>12547.190006803256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B108:E108"/>
    <mergeCell ref="B109:E109"/>
    <mergeCell ref="C103:E103"/>
    <mergeCell ref="C104:E104"/>
    <mergeCell ref="C105:E105"/>
    <mergeCell ref="C106:E106"/>
    <mergeCell ref="B107:E107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0"/>
  <sheetViews>
    <sheetView zoomScaleNormal="100" workbookViewId="0">
      <selection activeCell="B10" sqref="B10:E10"/>
    </sheetView>
  </sheetViews>
  <sheetFormatPr defaultRowHeight="12.5" x14ac:dyDescent="0.25"/>
  <cols>
    <col min="1" max="2" width="11.54296875"/>
    <col min="3" max="3" width="54" customWidth="1"/>
    <col min="4" max="6" width="13.453125" customWidth="1"/>
    <col min="7" max="1025" width="11.54296875"/>
  </cols>
  <sheetData>
    <row r="2" spans="2:6" ht="16.5" x14ac:dyDescent="0.45">
      <c r="B2" s="102" t="s">
        <v>217</v>
      </c>
    </row>
    <row r="4" spans="2:6" ht="16.5" x14ac:dyDescent="0.45">
      <c r="B4" s="103" t="s">
        <v>197</v>
      </c>
      <c r="C4" s="103" t="s">
        <v>198</v>
      </c>
      <c r="D4" s="103" t="s">
        <v>199</v>
      </c>
      <c r="E4" s="103" t="s">
        <v>200</v>
      </c>
      <c r="F4" s="103" t="s">
        <v>201</v>
      </c>
    </row>
    <row r="5" spans="2:6" ht="33" x14ac:dyDescent="0.45">
      <c r="B5" s="10">
        <v>1</v>
      </c>
      <c r="C5" s="104" t="s">
        <v>213</v>
      </c>
      <c r="D5" s="105">
        <v>8</v>
      </c>
      <c r="E5" s="106">
        <v>41</v>
      </c>
      <c r="F5" s="106">
        <f t="shared" ref="F5:F8" si="0">D5*E5</f>
        <v>328</v>
      </c>
    </row>
    <row r="6" spans="2:6" ht="16.5" x14ac:dyDescent="0.45">
      <c r="B6" s="10">
        <v>2</v>
      </c>
      <c r="C6" s="107" t="s">
        <v>214</v>
      </c>
      <c r="D6" s="74">
        <v>8</v>
      </c>
      <c r="E6" s="108">
        <v>19.670000000000002</v>
      </c>
      <c r="F6" s="108">
        <f t="shared" si="0"/>
        <v>157.36000000000001</v>
      </c>
    </row>
    <row r="7" spans="2:6" ht="49.5" x14ac:dyDescent="0.45">
      <c r="B7" s="10">
        <v>3</v>
      </c>
      <c r="C7" s="109" t="s">
        <v>215</v>
      </c>
      <c r="D7" s="105">
        <v>4</v>
      </c>
      <c r="E7" s="106">
        <v>45.44</v>
      </c>
      <c r="F7" s="106">
        <f t="shared" si="0"/>
        <v>181.76</v>
      </c>
    </row>
    <row r="8" spans="2:6" ht="20.5" customHeight="1" x14ac:dyDescent="0.45">
      <c r="B8" s="10">
        <v>4</v>
      </c>
      <c r="C8" s="110" t="s">
        <v>216</v>
      </c>
      <c r="D8" s="74">
        <v>8</v>
      </c>
      <c r="E8" s="108">
        <v>3</v>
      </c>
      <c r="F8" s="108">
        <f t="shared" si="0"/>
        <v>24</v>
      </c>
    </row>
    <row r="9" spans="2:6" ht="16.399999999999999" customHeight="1" x14ac:dyDescent="0.45">
      <c r="B9" s="125" t="s">
        <v>222</v>
      </c>
      <c r="C9" s="125"/>
      <c r="D9" s="125"/>
      <c r="E9" s="125"/>
      <c r="F9" s="111">
        <f>SUM(F5:F8)</f>
        <v>691.12</v>
      </c>
    </row>
    <row r="10" spans="2:6" ht="16.399999999999999" customHeight="1" x14ac:dyDescent="0.45">
      <c r="B10" s="125" t="s">
        <v>202</v>
      </c>
      <c r="C10" s="125"/>
      <c r="D10" s="125"/>
      <c r="E10" s="125"/>
      <c r="F10" s="111">
        <f>F9/24</f>
        <v>28.796666666666667</v>
      </c>
    </row>
  </sheetData>
  <mergeCells count="2">
    <mergeCell ref="B9:E9"/>
    <mergeCell ref="B10:E1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8"/>
  <sheetViews>
    <sheetView tabSelected="1" zoomScaleNormal="100" workbookViewId="0">
      <selection activeCell="B7" sqref="B7:H7"/>
    </sheetView>
  </sheetViews>
  <sheetFormatPr defaultRowHeight="12.5" x14ac:dyDescent="0.25"/>
  <cols>
    <col min="1" max="2" width="11.54296875"/>
    <col min="3" max="3" width="67.54296875" customWidth="1"/>
    <col min="4" max="8" width="11.54296875"/>
    <col min="9" max="9" width="13.08984375" customWidth="1"/>
    <col min="10" max="1025" width="11.54296875"/>
  </cols>
  <sheetData>
    <row r="2" spans="2:9" ht="16.5" x14ac:dyDescent="0.45">
      <c r="B2" s="102" t="s">
        <v>221</v>
      </c>
    </row>
    <row r="4" spans="2:9" ht="49.5" x14ac:dyDescent="0.25">
      <c r="B4" s="112" t="s">
        <v>197</v>
      </c>
      <c r="C4" s="112" t="s">
        <v>198</v>
      </c>
      <c r="D4" s="112" t="s">
        <v>199</v>
      </c>
      <c r="E4" s="112" t="s">
        <v>200</v>
      </c>
      <c r="F4" s="112" t="s">
        <v>203</v>
      </c>
      <c r="G4" s="112" t="s">
        <v>204</v>
      </c>
      <c r="H4" s="112" t="s">
        <v>205</v>
      </c>
      <c r="I4" s="112" t="s">
        <v>206</v>
      </c>
    </row>
    <row r="5" spans="2:9" ht="62" customHeight="1" x14ac:dyDescent="0.45">
      <c r="B5" s="12">
        <v>1</v>
      </c>
      <c r="C5" s="159" t="s">
        <v>218</v>
      </c>
      <c r="D5" s="105">
        <v>4</v>
      </c>
      <c r="E5" s="113">
        <v>981</v>
      </c>
      <c r="F5" s="113">
        <f t="shared" ref="F5" si="0">D5*E5</f>
        <v>3924</v>
      </c>
      <c r="G5" s="160">
        <v>5</v>
      </c>
      <c r="H5" s="160">
        <v>20</v>
      </c>
      <c r="I5" s="113">
        <f>(((F5*(100-H5)/100)/(G5)))</f>
        <v>627.83999999999992</v>
      </c>
    </row>
    <row r="6" spans="2:9" ht="16.5" x14ac:dyDescent="0.25">
      <c r="B6" s="158" t="s">
        <v>223</v>
      </c>
      <c r="C6" s="158"/>
      <c r="D6" s="158"/>
      <c r="E6" s="158"/>
      <c r="F6" s="158"/>
      <c r="G6" s="158"/>
      <c r="H6" s="158"/>
      <c r="I6" s="114">
        <f>SUM(I5:I5)</f>
        <v>627.83999999999992</v>
      </c>
    </row>
    <row r="7" spans="2:9" ht="16.5" x14ac:dyDescent="0.25">
      <c r="B7" s="158" t="s">
        <v>219</v>
      </c>
      <c r="C7" s="158"/>
      <c r="D7" s="158"/>
      <c r="E7" s="158"/>
      <c r="F7" s="158"/>
      <c r="G7" s="158"/>
      <c r="H7" s="158"/>
      <c r="I7" s="114">
        <f>I6/12</f>
        <v>52.319999999999993</v>
      </c>
    </row>
    <row r="8" spans="2:9" ht="16.5" x14ac:dyDescent="0.25">
      <c r="B8" s="158" t="s">
        <v>220</v>
      </c>
      <c r="C8" s="158"/>
      <c r="D8" s="158"/>
      <c r="E8" s="158"/>
      <c r="F8" s="158"/>
      <c r="G8" s="158"/>
      <c r="H8" s="158"/>
      <c r="I8" s="114">
        <f>I7/3</f>
        <v>17.439999999999998</v>
      </c>
    </row>
  </sheetData>
  <mergeCells count="3">
    <mergeCell ref="B6:H6"/>
    <mergeCell ref="B7:H7"/>
    <mergeCell ref="B8:H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126</vt:i4>
      </vt:variant>
    </vt:vector>
  </HeadingPairs>
  <TitlesOfParts>
    <vt:vector size="132" baseType="lpstr">
      <vt:lpstr>INSERÇÃO-DE-DADOS</vt:lpstr>
      <vt:lpstr>DADOS-ESTATISTICOS</vt:lpstr>
      <vt:lpstr>ENCARGOS-SOCIAIS-E-TRABALHISTAS</vt:lpstr>
      <vt:lpstr>POSTO 44 HORAS</vt:lpstr>
      <vt:lpstr>UNIFORME</vt:lpstr>
      <vt:lpstr>EQUIPAMENTOS</vt:lpstr>
      <vt:lpstr>ACORDO_COLETIVO</vt:lpstr>
      <vt:lpstr>'POSTO 44 HORAS'!AL_1_A_SAL_BASE</vt:lpstr>
      <vt:lpstr>'POSTO 44 HORAS'!AL_1_B_ADIC_PERIC</vt:lpstr>
      <vt:lpstr>'POSTO 44 HORAS'!AL_1_C_ADIC_NOT</vt:lpstr>
      <vt:lpstr>'POSTO 44 HORAS'!AL_1_D_ADIC_NOT_RED</vt:lpstr>
      <vt:lpstr>'POSTO 44 HORAS'!AL_2_1_A_DEC_TERC</vt:lpstr>
      <vt:lpstr>'POSTO 44 HORAS'!AL_2_1_B_ADIC_FERIAS</vt:lpstr>
      <vt:lpstr>'POSTO 44 HORAS'!AL_2_2_FGTS</vt:lpstr>
      <vt:lpstr>'POSTO 44 HORAS'!AL_2_3_A_TRANSP</vt:lpstr>
      <vt:lpstr>'POSTO 44 HORAS'!AL_2_3_B_AUX_ALIMENT</vt:lpstr>
      <vt:lpstr>'POSTO 44 HORAS'!AL_2_3_C_OUTROS_BENEF</vt:lpstr>
      <vt:lpstr>'POSTO 44 HORAS'!AL_2_A_ATE_2_G_GPS</vt:lpstr>
      <vt:lpstr>'POSTO 44 HORAS'!AL_6_A_CUSTOS_INDIRETOS</vt:lpstr>
      <vt:lpstr>'POSTO 44 HORAS'!AL_6_B_LUCRO</vt:lpstr>
      <vt:lpstr>'POSTO 44 HORAS'!AL_6_C_1_PIS</vt:lpstr>
      <vt:lpstr>'POSTO 44 HORAS'!AL_6_C_2_COFINS</vt:lpstr>
      <vt:lpstr>'POSTO 44 HORAS'!AL_6_C_3_ISS</vt:lpstr>
      <vt:lpstr>'POSTO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44 HORAS'!MOD_1_REMUNERACAO</vt:lpstr>
      <vt:lpstr>'POSTO 44 HORAS'!MOD_3_PROVISAO_RESCISAO</vt:lpstr>
      <vt:lpstr>'POSTO 44 HORAS'!MOD_5_INSUMOS</vt:lpstr>
      <vt:lpstr>'POSTO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44 HORAS'!PERC_TRIBUTOS</vt:lpstr>
      <vt:lpstr>'POSTO 44 HORAS'!QTDE_POSTOS</vt:lpstr>
      <vt:lpstr>RAMO</vt:lpstr>
      <vt:lpstr>SAL_MINIMO</vt:lpstr>
      <vt:lpstr>SALARIO_BASE</vt:lpstr>
      <vt:lpstr>'POSTO 44 HORAS'!SUBMOD_2_1_DEC_TERC_ADIC_FERIAS</vt:lpstr>
      <vt:lpstr>'POSTO 44 HORAS'!SUBMOD_2_2_GPS_FGTS</vt:lpstr>
      <vt:lpstr>'POSTO 44 HORAS'!SUBMOD_2_3_BENEFICIOS</vt:lpstr>
      <vt:lpstr>'POSTO 44 HORAS'!SUBMOD_4_1_SUBSTITUTO</vt:lpstr>
      <vt:lpstr>'POSTO 44 HORAS'!SUBMOD_4_2_INTRAJORNADA</vt:lpstr>
      <vt:lpstr>TEMPO_INTERVALO_REFEICAO</vt:lpstr>
      <vt:lpstr>TIPO_DE_SERVICO</vt:lpstr>
      <vt:lpstr>TRANSPORTE_POR_DIA</vt:lpstr>
      <vt:lpstr>UG</vt:lpstr>
      <vt:lpstr>UNIFORMES</vt:lpstr>
      <vt:lpstr>'POSTO 44 HORAS'!VALOR_TOTAL_EMPREGADO</vt:lpstr>
      <vt:lpstr>'POSTO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cdyonne@gmail.com</cp:lastModifiedBy>
  <cp:revision>7</cp:revision>
  <cp:lastPrinted>2019-08-28T14:06:04Z</cp:lastPrinted>
  <dcterms:created xsi:type="dcterms:W3CDTF">2014-02-07T18:14:59Z</dcterms:created>
  <dcterms:modified xsi:type="dcterms:W3CDTF">2025-06-06T02:11:39Z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