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dyon\Downloads\"/>
    </mc:Choice>
  </mc:AlternateContent>
  <xr:revisionPtr revIDLastSave="0" documentId="8_{EFFAA283-D056-42EE-8BD5-9E261D888F24}" xr6:coauthVersionLast="47" xr6:coauthVersionMax="47" xr10:uidLastSave="{00000000-0000-0000-0000-000000000000}"/>
  <bookViews>
    <workbookView xWindow="-110" yWindow="-110" windowWidth="19420" windowHeight="10300" tabRatio="500" firstSheet="3" activeTab="3" xr2:uid="{00000000-000D-0000-FFFF-FFFF00000000}"/>
  </bookViews>
  <sheets>
    <sheet name="INSERÇÃO-DE-DADOS" sheetId="1" r:id="rId1"/>
    <sheet name="DADOS-ESTATISTICOS" sheetId="2" r:id="rId2"/>
    <sheet name="ENCARGOS-SOCIAIS-E-TRABALHISTAS" sheetId="3" r:id="rId3"/>
    <sheet name="POSTO 44 HORAS" sheetId="4" r:id="rId4"/>
    <sheet name="UNIFORME" sheetId="5" r:id="rId5"/>
    <sheet name="MATERIAIS" sheetId="6" r:id="rId6"/>
    <sheet name="EQUIPAMENTOS_FERRAMENTAS" sheetId="7" r:id="rId7"/>
    <sheet name="EPI" sheetId="8" r:id="rId8"/>
  </sheets>
  <definedNames>
    <definedName name="ACORDO_COLETIVO">'INSERÇÃO-DE-DADOS'!$F$14</definedName>
    <definedName name="AL_1_A_SAL_BASE" localSheetId="3">'POSTO 44 HORAS'!$F$22</definedName>
    <definedName name="AL_1_B_ADIC_PERIC" localSheetId="3">'POSTO 44 HORAS'!$F$23</definedName>
    <definedName name="AL_1_C_ADIC_NOT" localSheetId="3">'POSTO 44 HORAS'!$F$24</definedName>
    <definedName name="AL_1_D_ADIC_NOT_RED" localSheetId="3">'POSTO 44 HORAS'!$F$25</definedName>
    <definedName name="AL_2_1_A_DEC_TERC" localSheetId="3">'POSTO 44 HORAS'!$F$34</definedName>
    <definedName name="AL_2_1_B_ADIC_FERIAS" localSheetId="3">'POSTO 44 HORAS'!$F$35</definedName>
    <definedName name="AL_2_2_FGTS" localSheetId="3">'POSTO 44 HORAS'!$F$46</definedName>
    <definedName name="AL_2_3_A_TRANSP" localSheetId="3">'POSTO 44 HORAS'!$F$50</definedName>
    <definedName name="AL_2_3_B_AUX_ALIMENT" localSheetId="3">'POSTO 44 HORAS'!$F$51</definedName>
    <definedName name="AL_2_3_C_OUTROS_BENEF" localSheetId="3">'POSTO 44 HORAS'!$F$52</definedName>
    <definedName name="AL_2_A_ATE_2_G_GPS" localSheetId="3">'POSTO 44 HORAS'!$F$39:$F$45</definedName>
    <definedName name="AL_6_A_CUSTOS_INDIRETOS" localSheetId="3">'POSTO 44 HORAS'!$F$92</definedName>
    <definedName name="AL_6_B_LUCRO" localSheetId="3">'POSTO 44 HORAS'!$F$93</definedName>
    <definedName name="AL_6_C_1_PIS" localSheetId="3">'POSTO 44 HORAS'!$F$95</definedName>
    <definedName name="AL_6_C_2_COFINS" localSheetId="3">'POSTO 44 HORAS'!$F$96</definedName>
    <definedName name="AL_6_C_3_ISS" localSheetId="3">'POSTO 44 HORAS'!$F$97</definedName>
    <definedName name="AL_6_C_TRIBUTOS" localSheetId="3">'POSTO 44 HORAS'!$F$94</definedName>
    <definedName name="ALIMENTACAO_POR_DIA">'INSERÇÃO-DE-DADOS'!$F$42</definedName>
    <definedName name="CATEGORIA_PROFISSIONAL">'INSERÇÃO-DE-DADOS'!$D$23</definedName>
    <definedName name="CBO">'INSERÇÃO-DE-DADOS'!$D$22</definedName>
    <definedName name="DATA_APRESENTACAO_PROPOSTA">'INSERÇÃO-DE-DADOS'!$F$11</definedName>
    <definedName name="DATA_BASE_CATEGORIA">'INSERÇÃO-DE-DADOS'!$F$24</definedName>
    <definedName name="DATA_DO_ORCAMENTO_ESTIMATIVO">'INSERÇÃO-DE-DADOS'!$F$2</definedName>
    <definedName name="DATA_LICITACAO">'INSERÇÃO-DE-DADOS'!$D$8</definedName>
    <definedName name="DIAS_AUSENCIAS_LEGAIS">'DADOS-ESTATISTICOS'!$F$27</definedName>
    <definedName name="DIAS_LICENCA_MATERNIDADE">'DADOS-ESTATISTICOS'!$F$33</definedName>
    <definedName name="DIAS_LICENCA_PATERNIDADE">'DADOS-ESTATISTICOS'!$F$28</definedName>
    <definedName name="DIAS_NA_SEMANA">'DADOS-ESTATISTICOS'!$F$5</definedName>
    <definedName name="DIAS_NO_ANO">'DADOS-ESTATISTICOS'!$F$6</definedName>
    <definedName name="DIAS_NO_MES">'DADOS-ESTATISTICOS'!$F$22</definedName>
    <definedName name="DIAS_PAGOS_EMPRESA_ACID_TRAB">'DADOS-ESTATISTICOS'!$F$32</definedName>
    <definedName name="DIAS_TRABALHADOS_NO_MES">'INSERÇÃO-DE-DADOS'!$F$43</definedName>
    <definedName name="DIVISOR_DE_HORAS">'DADOS-ESTATISTICOS'!$F$4</definedName>
    <definedName name="EMPREG_POR_POSTO">'INSERÇÃO-DE-DADOS'!$E$19</definedName>
    <definedName name="EQUIPAMENTOS">'INSERÇÃO-DE-DADOS'!$F$63</definedName>
    <definedName name="HORA_NORMAL">'DADOS-ESTATISTICOS'!$F$9</definedName>
    <definedName name="HORA_NOTURNA">'DADOS-ESTATISTICOS'!$F$10</definedName>
    <definedName name="HORARIO_LICITACAO">'INSERÇÃO-DE-DADOS'!$F$8</definedName>
    <definedName name="LOCAL_DE_EXECUCAO">'INSERÇÃO-DE-DADOS'!$D$12</definedName>
    <definedName name="MATERIAIS">'INSERÇÃO-DE-DADOS'!$F$62</definedName>
    <definedName name="MEDIA_ANUAL_DIAS_TRABALHO_MES">'DADOS-ESTATISTICOS'!$F$7</definedName>
    <definedName name="MESES_NO_ANO">'DADOS-ESTATISTICOS'!$F$8</definedName>
    <definedName name="MOD_1_REMUNERACAO" localSheetId="3">'POSTO 44 HORAS'!$F$30</definedName>
    <definedName name="MOD_2_ENCARGOS_BENEFICIOS" localSheetId="3">'POSTO 44 HORAS'!$F$36+'POSTO 44 HORAS'!$F$47+'POSTO 44 HORAS'!$F$56</definedName>
    <definedName name="MOD_3_PROVISAO_RESCISAO" localSheetId="3">'POSTO 44 HORAS'!$F$65</definedName>
    <definedName name="MOD_4_CUSTO_REPOSICAO" localSheetId="3">'POSTO 44 HORAS'!$F$76+'POSTO 44 HORAS'!$F$80</definedName>
    <definedName name="MOD_5_INSUMOS" localSheetId="3">'POSTO 44 HORAS'!$F$88</definedName>
    <definedName name="MOD_6_CUSTOS_IND_LUCRO_TRIB" localSheetId="3">'POSTO 44 HORAS'!$F$98</definedName>
    <definedName name="MODALIDADE_DE_LICITACAO">'INSERÇÃO-DE-DADOS'!$D$7</definedName>
    <definedName name="NUMERO_MESES_EXEC_CONTRATUAL">'INSERÇÃO-DE-DADOS'!$F$15</definedName>
    <definedName name="NUMERO_PREGAO">'INSERÇÃO-DE-DADOS'!$F$7</definedName>
    <definedName name="NUMERO_PROCESSO">'INSERÇÃO-DE-DADOS'!$D$6</definedName>
    <definedName name="OUTRAS_AUSENCIAS">'ENCARGOS-SOCIAIS-E-TRABALHISTAS'!$E$34</definedName>
    <definedName name="OUTRAS_AUSENCIAS_DESCRICAO">'INSERÇÃO-DE-DADOS'!$C$52</definedName>
    <definedName name="OUTROS_BENEFICIOS_1">'INSERÇÃO-DE-DADOS'!$F$44</definedName>
    <definedName name="OUTROS_BENEFICIOS_1_DESCRICAO">'INSERÇÃO-DE-DADOS'!$C$44</definedName>
    <definedName name="OUTROS_BENEFICIOS_2">'INSERÇÃO-DE-DADOS'!$F$45</definedName>
    <definedName name="OUTROS_BENEFICIOS_2_DESCRICAO">'INSERÇÃO-DE-DADOS'!$C$45</definedName>
    <definedName name="OUTROS_BENEFICIOS_3">'INSERÇÃO-DE-DADOS'!$F$46</definedName>
    <definedName name="OUTROS_BENEFICIOS_3_DESCRICAO">'INSERÇÃO-DE-DADOS'!$C$46</definedName>
    <definedName name="OUTROS_INSUMOS">'INSERÇÃO-DE-DADOS'!$F$64</definedName>
    <definedName name="OUTROS_INSUMOS_DESCRICAO">'INSERÇÃO-DE-DADOS'!$C$64</definedName>
    <definedName name="OUTROS_REMUNERACAO_1">'INSERÇÃO-DE-DADOS'!$F$34</definedName>
    <definedName name="OUTROS_REMUNERACAO_1_DESCRICAO">'INSERÇÃO-DE-DADOS'!$C$34</definedName>
    <definedName name="OUTROS_REMUNERACAO_2">'INSERÇÃO-DE-DADOS'!$F$35</definedName>
    <definedName name="OUTROS_REMUNERACAO_2_DESCRICAO">'INSERÇÃO-DE-DADOS'!$C$35:$E$35</definedName>
    <definedName name="OUTROS_REMUNERACAO_3">'INSERÇÃO-DE-DADOS'!$F$36</definedName>
    <definedName name="OUTROS_REMUNERACAO_3_DESCRICAO">'INSERÇÃO-DE-DADOS'!$C$36:$E$36</definedName>
    <definedName name="PERC_ADIC_FERIAS">'ENCARGOS-SOCIAIS-E-TRABALHISTAS'!$E$6</definedName>
    <definedName name="PERC_ADIC_INS">'INSERÇÃO-DE-DADOS'!$F$33</definedName>
    <definedName name="PERC_ADIC_NOT">'INSERÇÃO-DE-DADOS'!$F$32</definedName>
    <definedName name="PERC_ADIC_PERIC">'INSERÇÃO-DE-DADOS'!$F$31</definedName>
    <definedName name="PERC_AVISO_PREVIO_IND">'ENCARGOS-SOCIAIS-E-TRABALHISTAS'!$E$20</definedName>
    <definedName name="PERC_AVISO_PREVIO_TRAB">'ENCARGOS-SOCIAIS-E-TRABALHISTAS'!$E$23</definedName>
    <definedName name="PERC_COFINS">'INSERÇÃO-DE-DADOS'!$F$71</definedName>
    <definedName name="PERC_CONTRIB_SOCIAL">'DADOS-ESTATISTICOS'!#REF!</definedName>
    <definedName name="PERC_CUSTOS_INDIRETOS">'INSERÇÃO-DE-DADOS'!$F$68</definedName>
    <definedName name="PERC_DEC_TERC">'ENCARGOS-SOCIAIS-E-TRABALHISTAS'!$E$5</definedName>
    <definedName name="PERC_DESC_TRANSP_REMUNERACAO">'DADOS-ESTATISTICOS'!$F$14</definedName>
    <definedName name="PERC_EMPREG_AFAST_TRAB">'DADOS-ESTATISTICOS'!$F$31</definedName>
    <definedName name="PERC_EMPREG_AVISO_PREVIO_IND">'DADOS-ESTATISTICOS'!$F$19</definedName>
    <definedName name="PERC_EMPREG_AVISO_PREVIO_TRAB">'DADOS-ESTATISTICOS'!$F$21</definedName>
    <definedName name="PERC_EMPREG_DEMIT_SEM_JUSTA_CAUSA_TOTAL_DESLIG">'DADOS-ESTATISTICOS'!$F$18</definedName>
    <definedName name="PERC_FGTS">'ENCARGOS-SOCIAIS-E-TRABALHISTAS'!$E$16</definedName>
    <definedName name="PERC_FGTS_AVISO_PREV_IND">'ENCARGOS-SOCIAIS-E-TRABALHISTAS'!$E$21</definedName>
    <definedName name="PERC_GPS_FGTS">'ENCARGOS-SOCIAIS-E-TRABALHISTAS'!$E$17</definedName>
    <definedName name="PERC_GPS_FGTS_AVISO_PREVIO_TRAB">'ENCARGOS-SOCIAIS-E-TRABALHISTAS'!$E$24</definedName>
    <definedName name="PERC_HORA_EXTRA">'INSERÇÃO-DE-DADOS'!$F$56</definedName>
    <definedName name="PERC_INCRA">'ENCARGOS-SOCIAIS-E-TRABALHISTAS'!$E$15</definedName>
    <definedName name="PERC_INSS">'ENCARGOS-SOCIAIS-E-TRABALHISTAS'!$E$9</definedName>
    <definedName name="PERC_ISS">'INSERÇÃO-DE-DADOS'!$F$72</definedName>
    <definedName name="PERC_LUCRO">'INSERÇÃO-DE-DADOS'!$F$69</definedName>
    <definedName name="PERC_MOD_3_PROVISAO_RESCISAO" localSheetId="3">'POSTO 44 HORAS'!$E$65</definedName>
    <definedName name="PERC_MULTA_FGTS">'DADOS-ESTATISTICOS'!$F$20</definedName>
    <definedName name="PERC_MULTA_FGTS_AV_PREV_IND">'ENCARGOS-SOCIAIS-E-TRABALHISTAS'!$E$22</definedName>
    <definedName name="PERC_MULTA_FGTS_AV_PREV_TRAB">'ENCARGOS-SOCIAIS-E-TRABALHISTAS'!$E$25</definedName>
    <definedName name="PERC_NASCIDOS_VIVOS_POPUL_FEM">'DADOS-ESTATISTICOS'!$F$29</definedName>
    <definedName name="PERC_PARTIC_FEM_VIGIL">'DADOS-ESTATISTICOS'!$F$34</definedName>
    <definedName name="PERC_PARTIC_MASC_VIGIL">'DADOS-ESTATISTICOS'!$F$30</definedName>
    <definedName name="PERC_PIS">'INSERÇÃO-DE-DADOS'!$F$70</definedName>
    <definedName name="PERC_RAT">'ENCARGOS-SOCIAIS-E-TRABALHISTAS'!$E$11</definedName>
    <definedName name="PERC_SAL_EDUCACAO">'ENCARGOS-SOCIAIS-E-TRABALHISTAS'!$E$10</definedName>
    <definedName name="PERC_SEBRAE">'ENCARGOS-SOCIAIS-E-TRABALHISTAS'!$E$14</definedName>
    <definedName name="PERC_SENAC">'ENCARGOS-SOCIAIS-E-TRABALHISTAS'!$E$13</definedName>
    <definedName name="PERC_SESC">'ENCARGOS-SOCIAIS-E-TRABALHISTAS'!$E$12</definedName>
    <definedName name="PERC_SUBSTITUTO_ACID_TRAB">'ENCARGOS-SOCIAIS-E-TRABALHISTAS'!$E$32</definedName>
    <definedName name="PERC_SUBSTITUTO_AFAST_MATERN">'ENCARGOS-SOCIAIS-E-TRABALHISTAS'!$E$33</definedName>
    <definedName name="PERC_SUBSTITUTO_AUSENCIAS_LEGAIS">'ENCARGOS-SOCIAIS-E-TRABALHISTAS'!$E$30</definedName>
    <definedName name="PERC_SUBSTITUTO_FERIAS">'ENCARGOS-SOCIAIS-E-TRABALHISTAS'!$E$29</definedName>
    <definedName name="PERC_SUBSTITUTO_LICENCA_PATERNIDADE">'ENCARGOS-SOCIAIS-E-TRABALHISTAS'!$E$31</definedName>
    <definedName name="PERC_SUBSTITUTO_OUTRAS_AUSENCIAS">'INSERÇÃO-DE-DADOS'!$F$52</definedName>
    <definedName name="PERC_TRIBUTOS" localSheetId="3">'POSTO 44 HORAS'!$E$94</definedName>
    <definedName name="QTDE_POSTOS" localSheetId="3">'INSERÇÃO-DE-DADOS'!$F$19</definedName>
    <definedName name="RAMO">'INSERÇÃO-DE-DADOS'!$B$1</definedName>
    <definedName name="SAL_MINIMO">'INSERÇÃO-DE-DADOS'!$F$25</definedName>
    <definedName name="SALARIO_BASE">'INSERÇÃO-DE-DADOS'!$F$30</definedName>
    <definedName name="SUBMOD_2_1_DEC_TERC_ADIC_FERIAS" localSheetId="3">'POSTO 44 HORAS'!$F$36</definedName>
    <definedName name="SUBMOD_2_2_GPS_FGTS" localSheetId="3">'POSTO 44 HORAS'!$F$47</definedName>
    <definedName name="SUBMOD_2_3_BENEFICIOS" localSheetId="3">'POSTO 44 HORAS'!$F$56</definedName>
    <definedName name="SUBMOD_4_1_SUBSTITUTO" localSheetId="3">'POSTO 44 HORAS'!$F$76</definedName>
    <definedName name="SUBMOD_4_2_INTRAJORNADA" localSheetId="3">'POSTO 44 HORAS'!$F$80</definedName>
    <definedName name="TEMPO_INTERVALO_REFEICAO">'INSERÇÃO-DE-DADOS'!$F$57</definedName>
    <definedName name="TIPO_DE_SERVICO">'INSERÇÃO-DE-DADOS'!$C$19</definedName>
    <definedName name="TRANSPORTE_POR_DIA">'INSERÇÃO-DE-DADOS'!$F$41</definedName>
    <definedName name="UG">'INSERÇÃO-DE-DADOS'!$B$2</definedName>
    <definedName name="UNIFORMES">'INSERÇÃO-DE-DADOS'!$F$61</definedName>
    <definedName name="VALOR_TOTAL_EMPREGADO" localSheetId="3">'POSTO 44 HORAS'!$F$107</definedName>
    <definedName name="VALOR_TOTAL_POSTO" localSheetId="3">'POSTO 44 HORAS'!$F$108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4" i="1" l="1"/>
  <c r="F63" i="1"/>
  <c r="F62" i="1"/>
  <c r="F85" i="4" s="1"/>
  <c r="F61" i="1"/>
  <c r="F84" i="4" s="1"/>
  <c r="F87" i="4"/>
  <c r="F86" i="4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35" i="8" s="1"/>
  <c r="G36" i="8" s="1"/>
  <c r="G37" i="8" s="1"/>
  <c r="F127" i="7"/>
  <c r="I127" i="7" s="1"/>
  <c r="F126" i="7"/>
  <c r="I126" i="7" s="1"/>
  <c r="F125" i="7"/>
  <c r="I125" i="7" s="1"/>
  <c r="F124" i="7"/>
  <c r="I124" i="7" s="1"/>
  <c r="F123" i="7"/>
  <c r="I123" i="7" s="1"/>
  <c r="F115" i="7"/>
  <c r="I115" i="7" s="1"/>
  <c r="F116" i="7"/>
  <c r="I116" i="7" s="1"/>
  <c r="F117" i="7"/>
  <c r="I117" i="7"/>
  <c r="F118" i="7"/>
  <c r="I118" i="7"/>
  <c r="F119" i="7"/>
  <c r="I119" i="7" s="1"/>
  <c r="F120" i="7"/>
  <c r="I120" i="7" s="1"/>
  <c r="F121" i="7"/>
  <c r="I121" i="7"/>
  <c r="F122" i="7"/>
  <c r="I122" i="7"/>
  <c r="F114" i="7"/>
  <c r="I114" i="7" s="1"/>
  <c r="F113" i="7"/>
  <c r="I113" i="7" s="1"/>
  <c r="F112" i="7"/>
  <c r="I112" i="7" s="1"/>
  <c r="F111" i="7"/>
  <c r="I111" i="7" s="1"/>
  <c r="F110" i="7"/>
  <c r="I110" i="7" s="1"/>
  <c r="F109" i="7"/>
  <c r="I109" i="7" s="1"/>
  <c r="F108" i="7"/>
  <c r="I108" i="7" s="1"/>
  <c r="F107" i="7"/>
  <c r="I107" i="7" s="1"/>
  <c r="F106" i="7"/>
  <c r="I106" i="7" s="1"/>
  <c r="F105" i="7"/>
  <c r="I105" i="7" s="1"/>
  <c r="F104" i="7"/>
  <c r="I104" i="7" s="1"/>
  <c r="F103" i="7"/>
  <c r="I103" i="7" s="1"/>
  <c r="F102" i="7"/>
  <c r="I102" i="7" s="1"/>
  <c r="F101" i="7"/>
  <c r="I101" i="7" s="1"/>
  <c r="F100" i="7"/>
  <c r="I100" i="7" s="1"/>
  <c r="F99" i="7"/>
  <c r="I99" i="7" s="1"/>
  <c r="F98" i="7"/>
  <c r="I98" i="7" s="1"/>
  <c r="F97" i="7"/>
  <c r="I97" i="7" s="1"/>
  <c r="F96" i="7"/>
  <c r="I96" i="7" s="1"/>
  <c r="F95" i="7"/>
  <c r="I95" i="7" s="1"/>
  <c r="F94" i="7"/>
  <c r="I94" i="7" s="1"/>
  <c r="F93" i="7"/>
  <c r="I93" i="7" s="1"/>
  <c r="F92" i="7"/>
  <c r="I92" i="7" s="1"/>
  <c r="F91" i="7"/>
  <c r="I91" i="7" s="1"/>
  <c r="F90" i="7"/>
  <c r="I90" i="7" s="1"/>
  <c r="F89" i="7"/>
  <c r="I89" i="7" s="1"/>
  <c r="F88" i="7"/>
  <c r="I88" i="7" s="1"/>
  <c r="F87" i="7"/>
  <c r="I87" i="7" s="1"/>
  <c r="F86" i="7"/>
  <c r="I86" i="7" s="1"/>
  <c r="F85" i="7"/>
  <c r="I85" i="7" s="1"/>
  <c r="F84" i="7"/>
  <c r="I84" i="7" s="1"/>
  <c r="F83" i="7"/>
  <c r="I83" i="7" s="1"/>
  <c r="F82" i="7"/>
  <c r="I82" i="7" s="1"/>
  <c r="F81" i="7"/>
  <c r="I81" i="7" s="1"/>
  <c r="F80" i="7"/>
  <c r="I80" i="7" s="1"/>
  <c r="F79" i="7"/>
  <c r="I79" i="7" s="1"/>
  <c r="F78" i="7"/>
  <c r="I78" i="7" s="1"/>
  <c r="F77" i="7"/>
  <c r="I77" i="7" s="1"/>
  <c r="F76" i="7"/>
  <c r="I76" i="7" s="1"/>
  <c r="F75" i="7"/>
  <c r="I75" i="7" s="1"/>
  <c r="F74" i="7"/>
  <c r="I74" i="7" s="1"/>
  <c r="F73" i="7"/>
  <c r="I73" i="7" s="1"/>
  <c r="F72" i="7"/>
  <c r="I72" i="7" s="1"/>
  <c r="F71" i="7"/>
  <c r="I71" i="7" s="1"/>
  <c r="F70" i="7"/>
  <c r="I70" i="7" s="1"/>
  <c r="F69" i="7"/>
  <c r="I69" i="7" s="1"/>
  <c r="F54" i="7"/>
  <c r="I54" i="7" s="1"/>
  <c r="F53" i="7"/>
  <c r="I53" i="7" s="1"/>
  <c r="F52" i="7"/>
  <c r="I52" i="7" s="1"/>
  <c r="F51" i="7"/>
  <c r="I51" i="7" s="1"/>
  <c r="F50" i="7"/>
  <c r="I50" i="7" s="1"/>
  <c r="F49" i="7"/>
  <c r="I49" i="7" s="1"/>
  <c r="F48" i="7"/>
  <c r="I48" i="7" s="1"/>
  <c r="F47" i="7"/>
  <c r="I47" i="7" s="1"/>
  <c r="F46" i="7"/>
  <c r="I46" i="7" s="1"/>
  <c r="F45" i="7"/>
  <c r="I45" i="7" s="1"/>
  <c r="F44" i="7"/>
  <c r="I44" i="7" s="1"/>
  <c r="F43" i="7"/>
  <c r="I43" i="7" s="1"/>
  <c r="F42" i="7"/>
  <c r="I42" i="7" s="1"/>
  <c r="F41" i="7"/>
  <c r="I41" i="7" s="1"/>
  <c r="F40" i="7"/>
  <c r="I40" i="7" s="1"/>
  <c r="F39" i="7"/>
  <c r="I39" i="7" s="1"/>
  <c r="F38" i="7"/>
  <c r="I38" i="7" s="1"/>
  <c r="F37" i="7"/>
  <c r="I37" i="7" s="1"/>
  <c r="F36" i="7"/>
  <c r="I36" i="7" s="1"/>
  <c r="F35" i="7"/>
  <c r="I35" i="7" s="1"/>
  <c r="F34" i="7"/>
  <c r="I34" i="7" s="1"/>
  <c r="F33" i="7"/>
  <c r="I33" i="7" s="1"/>
  <c r="F32" i="7"/>
  <c r="I32" i="7" s="1"/>
  <c r="F31" i="7"/>
  <c r="I31" i="7" s="1"/>
  <c r="F30" i="7"/>
  <c r="I30" i="7" s="1"/>
  <c r="F29" i="7"/>
  <c r="I29" i="7" s="1"/>
  <c r="F28" i="7"/>
  <c r="I28" i="7" s="1"/>
  <c r="F27" i="7"/>
  <c r="I27" i="7" s="1"/>
  <c r="F26" i="7"/>
  <c r="I26" i="7" s="1"/>
  <c r="F25" i="7"/>
  <c r="I25" i="7" s="1"/>
  <c r="F24" i="7"/>
  <c r="I24" i="7" s="1"/>
  <c r="F60" i="7"/>
  <c r="I60" i="7" s="1"/>
  <c r="F59" i="7"/>
  <c r="I59" i="7" s="1"/>
  <c r="F58" i="7"/>
  <c r="I58" i="7" s="1"/>
  <c r="F57" i="7"/>
  <c r="I57" i="7" s="1"/>
  <c r="F56" i="7"/>
  <c r="I56" i="7" s="1"/>
  <c r="F55" i="7"/>
  <c r="I55" i="7" s="1"/>
  <c r="F23" i="7"/>
  <c r="I23" i="7" s="1"/>
  <c r="F22" i="7"/>
  <c r="I22" i="7" s="1"/>
  <c r="F21" i="7"/>
  <c r="I21" i="7" s="1"/>
  <c r="F20" i="7"/>
  <c r="I20" i="7" s="1"/>
  <c r="F19" i="7"/>
  <c r="I19" i="7" s="1"/>
  <c r="F18" i="7"/>
  <c r="I18" i="7" s="1"/>
  <c r="F17" i="7"/>
  <c r="I17" i="7" s="1"/>
  <c r="F16" i="7"/>
  <c r="I16" i="7" s="1"/>
  <c r="F15" i="7"/>
  <c r="I15" i="7" s="1"/>
  <c r="F14" i="7"/>
  <c r="I14" i="7" s="1"/>
  <c r="F13" i="7"/>
  <c r="I13" i="7" s="1"/>
  <c r="F12" i="7"/>
  <c r="I12" i="7" s="1"/>
  <c r="F11" i="7"/>
  <c r="I11" i="7" s="1"/>
  <c r="F10" i="7"/>
  <c r="I10" i="7" s="1"/>
  <c r="F9" i="7"/>
  <c r="I9" i="7" s="1"/>
  <c r="F8" i="7"/>
  <c r="I8" i="7" s="1"/>
  <c r="F7" i="7"/>
  <c r="I7" i="7" s="1"/>
  <c r="F6" i="7"/>
  <c r="I6" i="7" s="1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55" i="6" s="1"/>
  <c r="F56" i="6" s="1"/>
  <c r="F57" i="6" s="1"/>
  <c r="G10" i="5"/>
  <c r="G9" i="5"/>
  <c r="G8" i="5"/>
  <c r="G7" i="5"/>
  <c r="G6" i="5"/>
  <c r="G11" i="5" s="1"/>
  <c r="G12" i="5" s="1"/>
  <c r="E97" i="4"/>
  <c r="E96" i="4"/>
  <c r="E95" i="4"/>
  <c r="E94" i="4"/>
  <c r="E93" i="4"/>
  <c r="E92" i="4"/>
  <c r="F79" i="4"/>
  <c r="F80" i="4" s="1"/>
  <c r="E75" i="4"/>
  <c r="C75" i="4"/>
  <c r="E62" i="4"/>
  <c r="F55" i="4"/>
  <c r="F54" i="4"/>
  <c r="C54" i="4"/>
  <c r="F53" i="4"/>
  <c r="C53" i="4"/>
  <c r="C52" i="4"/>
  <c r="F51" i="4"/>
  <c r="F50" i="4"/>
  <c r="F56" i="4" s="1"/>
  <c r="E46" i="4"/>
  <c r="E45" i="4"/>
  <c r="E44" i="4"/>
  <c r="E43" i="4"/>
  <c r="E42" i="4"/>
  <c r="E41" i="4"/>
  <c r="E40" i="4"/>
  <c r="E39" i="4"/>
  <c r="F29" i="4"/>
  <c r="C29" i="4"/>
  <c r="F28" i="4"/>
  <c r="C28" i="4"/>
  <c r="F27" i="4"/>
  <c r="C27" i="4"/>
  <c r="F26" i="4"/>
  <c r="F23" i="4"/>
  <c r="F24" i="4" s="1"/>
  <c r="F22" i="4"/>
  <c r="F19" i="4"/>
  <c r="F17" i="4"/>
  <c r="D16" i="4"/>
  <c r="D15" i="4"/>
  <c r="E14" i="4"/>
  <c r="F12" i="4"/>
  <c r="F11" i="4"/>
  <c r="F10" i="4"/>
  <c r="D9" i="4"/>
  <c r="F8" i="4"/>
  <c r="F6" i="4"/>
  <c r="D6" i="4"/>
  <c r="D5" i="4"/>
  <c r="F2" i="4"/>
  <c r="B2" i="4"/>
  <c r="B1" i="4"/>
  <c r="E34" i="3"/>
  <c r="C34" i="3"/>
  <c r="E31" i="3"/>
  <c r="E30" i="3"/>
  <c r="E71" i="4" s="1"/>
  <c r="E29" i="3"/>
  <c r="E70" i="4" s="1"/>
  <c r="E23" i="3"/>
  <c r="E25" i="3" s="1"/>
  <c r="E20" i="3"/>
  <c r="E22" i="3" s="1"/>
  <c r="E17" i="3"/>
  <c r="E24" i="3" s="1"/>
  <c r="E6" i="3"/>
  <c r="E5" i="3"/>
  <c r="F39" i="2"/>
  <c r="F38" i="2"/>
  <c r="F31" i="2"/>
  <c r="E32" i="3" s="1"/>
  <c r="E72" i="1"/>
  <c r="E71" i="1"/>
  <c r="E70" i="1"/>
  <c r="I128" i="7" l="1"/>
  <c r="I129" i="7" s="1"/>
  <c r="I61" i="7"/>
  <c r="I62" i="7" s="1"/>
  <c r="F88" i="4"/>
  <c r="F105" i="4" s="1"/>
  <c r="E63" i="4"/>
  <c r="E61" i="4"/>
  <c r="E64" i="4"/>
  <c r="E73" i="4"/>
  <c r="F25" i="4"/>
  <c r="F30" i="4"/>
  <c r="E59" i="4"/>
  <c r="E21" i="3"/>
  <c r="E34" i="4"/>
  <c r="E72" i="4"/>
  <c r="E33" i="3"/>
  <c r="E35" i="4"/>
  <c r="F41" i="4" l="1"/>
  <c r="F101" i="4"/>
  <c r="E74" i="4"/>
  <c r="F60" i="4"/>
  <c r="E60" i="4"/>
  <c r="F35" i="4"/>
  <c r="F34" i="4"/>
  <c r="F36" i="4" s="1"/>
  <c r="F45" i="4" s="1"/>
  <c r="F63" i="4" l="1"/>
  <c r="F43" i="4"/>
  <c r="F40" i="4"/>
  <c r="F59" i="4"/>
  <c r="F44" i="4"/>
  <c r="F61" i="4"/>
  <c r="F39" i="4"/>
  <c r="F42" i="4"/>
  <c r="F64" i="4"/>
  <c r="F46" i="4"/>
  <c r="F47" i="4" l="1"/>
  <c r="F62" i="4" l="1"/>
  <c r="F65" i="4" s="1"/>
  <c r="F102" i="4"/>
  <c r="F103" i="4" l="1"/>
  <c r="F73" i="4"/>
  <c r="F74" i="4"/>
  <c r="F75" i="4"/>
  <c r="F71" i="4"/>
  <c r="F72" i="4"/>
  <c r="F70" i="4"/>
  <c r="F76" i="4" l="1"/>
  <c r="F104" i="4" l="1"/>
  <c r="F92" i="4"/>
  <c r="F93" i="4" l="1"/>
  <c r="F96" i="4" s="1"/>
  <c r="F95" i="4" l="1"/>
  <c r="F97" i="4"/>
  <c r="F94" i="4" l="1"/>
  <c r="F98" i="4" s="1"/>
  <c r="F106" i="4" s="1"/>
  <c r="F107" i="4" s="1"/>
  <c r="F108" i="4" s="1"/>
  <c r="F109" i="4" l="1"/>
</calcChain>
</file>

<file path=xl/sharedStrings.xml><?xml version="1.0" encoding="utf-8"?>
<sst xmlns="http://schemas.openxmlformats.org/spreadsheetml/2006/main" count="694" uniqueCount="414">
  <si>
    <t>RAMO: MINISTÉRIO PÚBLICO FEDERAL</t>
  </si>
  <si>
    <t>UNIDADE GESTORA (SIGLA): PR/AP</t>
  </si>
  <si>
    <t>DATA:</t>
  </si>
  <si>
    <t>XX/XX/2025</t>
  </si>
  <si>
    <t>CUSTOS REFERENTES AOS SERVIÇOS CONTRATADOS</t>
  </si>
  <si>
    <t>Dados referentes à licitação</t>
  </si>
  <si>
    <t>Nº do Processo</t>
  </si>
  <si>
    <t>1.22.000.000104/2024-23</t>
  </si>
  <si>
    <t>Modalidade de Licitação nº (XX/AAAA)</t>
  </si>
  <si>
    <t>Pregão nº</t>
  </si>
  <si>
    <t>XX/2025</t>
  </si>
  <si>
    <t>Data / Horário</t>
  </si>
  <si>
    <t>HH:MM</t>
  </si>
  <si>
    <t>Dados referentes à contratação</t>
  </si>
  <si>
    <t>A</t>
  </si>
  <si>
    <t>Data de Apresentação da Proposta (DD/MM/AAAA)</t>
  </si>
  <si>
    <t>B</t>
  </si>
  <si>
    <t>Local de Execução (Sede, Anexo I ou II, PTM, PRM)</t>
  </si>
  <si>
    <t>PRAP</t>
  </si>
  <si>
    <t>C</t>
  </si>
  <si>
    <t>Unidade da Federação</t>
  </si>
  <si>
    <t>AP</t>
  </si>
  <si>
    <t>D</t>
  </si>
  <si>
    <t>Acordo, Conv. ou Sentença Normativa em Dissídio Coletivo (01/2025)</t>
  </si>
  <si>
    <t>AP000003/2025</t>
  </si>
  <si>
    <t>E</t>
  </si>
  <si>
    <t>Número de Meses de Execução Contratual</t>
  </si>
  <si>
    <t>Identificação do serviço</t>
  </si>
  <si>
    <t>Item</t>
  </si>
  <si>
    <t>Tipo de Serviço</t>
  </si>
  <si>
    <t>Unidade de Medida</t>
  </si>
  <si>
    <t>Empregados por Posto</t>
  </si>
  <si>
    <t>Qtde Total a Contratar</t>
  </si>
  <si>
    <t>Eletricista I</t>
  </si>
  <si>
    <t>Unid.</t>
  </si>
  <si>
    <t>Mão de obra</t>
  </si>
  <si>
    <t>Classificação Brasileira de Ocupações (CBO)</t>
  </si>
  <si>
    <t>9511-05</t>
  </si>
  <si>
    <t>Categoria Profissional (vinculada à execução contratual)</t>
  </si>
  <si>
    <t>Eletricista de Manutenção Eletroeletrônica</t>
  </si>
  <si>
    <t>Data-Base da Categoria (DD/MM/AAAA)</t>
  </si>
  <si>
    <t>Salário Mínimo vigente no país (em R$)</t>
  </si>
  <si>
    <t>CUSTOS POR EMPREGADO</t>
  </si>
  <si>
    <t>MÓDULO 1: COMPOSIÇÃO DA REMUNERAÇÃO</t>
  </si>
  <si>
    <t>Composição da Remuneração</t>
  </si>
  <si>
    <t>Valor / %</t>
  </si>
  <si>
    <t>Salário-Base (em R$)</t>
  </si>
  <si>
    <t>Adicional de Periculosidade (em %)</t>
  </si>
  <si>
    <t>Adicional Noturno (em %)</t>
  </si>
  <si>
    <t>Adicional de Insalubridade (em %)</t>
  </si>
  <si>
    <t>Outras Remunerações 1 (Especificar)</t>
  </si>
  <si>
    <t>F</t>
  </si>
  <si>
    <t>Outras Remunerações 2 (Especificar)</t>
  </si>
  <si>
    <t>G</t>
  </si>
  <si>
    <t>Outras Remunerações 3 (Especificar)</t>
  </si>
  <si>
    <t>MÓDULO 2: ENCARGOS E BENEFÍCIOS ANUAIS, MENSAIS E DIÁRIOS</t>
  </si>
  <si>
    <t>Submódulo 2.3 - Benefícios Mensais e Diários</t>
  </si>
  <si>
    <t>2.3</t>
  </si>
  <si>
    <t>Benefícios Mensais e Diários</t>
  </si>
  <si>
    <t>Frequência</t>
  </si>
  <si>
    <t>Valor (em R$)</t>
  </si>
  <si>
    <t>Transporte</t>
  </si>
  <si>
    <t>Diária</t>
  </si>
  <si>
    <t>Auxílio-Refeição/Alimentação</t>
  </si>
  <si>
    <t>Dias Trabalhados no mês (15 dias intercalados ou 22 dias úteis)</t>
  </si>
  <si>
    <t>Mensal</t>
  </si>
  <si>
    <t>Benefício Social (CCT, Cláusula 15ª)</t>
  </si>
  <si>
    <t>Outros Benefícios 2</t>
  </si>
  <si>
    <t>Outros Benefícios 3</t>
  </si>
  <si>
    <t>Outros Benefícios 4</t>
  </si>
  <si>
    <t>MÓDULO 4: CUSTO DE REPOSIÇÃO DO PROFISSIONAL AUSENTE</t>
  </si>
  <si>
    <t>Submódulo 4.1 - Substituto nas Ausências Legais</t>
  </si>
  <si>
    <t>4.1</t>
  </si>
  <si>
    <t>Substituto nas Ausências Legais</t>
  </si>
  <si>
    <t>%</t>
  </si>
  <si>
    <t>Outras Ausências (Especificar - em %)</t>
  </si>
  <si>
    <t>Submódulo 4.2 - Substituto na Intrajornada</t>
  </si>
  <si>
    <t>4.2</t>
  </si>
  <si>
    <t>Substituto na Intrajornada</t>
  </si>
  <si>
    <t>% / Minutos</t>
  </si>
  <si>
    <t>Hora Extra (em %)</t>
  </si>
  <si>
    <t>Tempo de Intervalo para Refeição (em minutos)</t>
  </si>
  <si>
    <t>MÓDULO 5: INSUMOS DIVERSOS</t>
  </si>
  <si>
    <t>Insumos Diversos</t>
  </si>
  <si>
    <t>Valor (R$)</t>
  </si>
  <si>
    <t>Uniformes</t>
  </si>
  <si>
    <t>Materiais</t>
  </si>
  <si>
    <t>MÓDULO 6: CUSTOS INDIRETOS, TRIBUTOS E LUCRO</t>
  </si>
  <si>
    <t>Custos Indiretos, Tributos e Lucro</t>
  </si>
  <si>
    <t>Custos Indiretos</t>
  </si>
  <si>
    <t>Lucro</t>
  </si>
  <si>
    <t>C.1</t>
  </si>
  <si>
    <t>PIS</t>
  </si>
  <si>
    <t>C.2</t>
  </si>
  <si>
    <t>Cofins</t>
  </si>
  <si>
    <t>C.3</t>
  </si>
  <si>
    <t>ISS</t>
  </si>
  <si>
    <t>OBSERVAÇÃO</t>
  </si>
  <si>
    <t>Para mais informações, consulte o Referencial Técnico de Custos, constante da aba PUBLICAÇÕES, na página da Auditoria Interna do MPU na internet (www.auditoria.mpu.mp.br).</t>
  </si>
  <si>
    <t>DADOS ESTATÍSTICOS</t>
  </si>
  <si>
    <t>Dias / Horas / Minutos</t>
  </si>
  <si>
    <t>Divisor de Horas (em horas)</t>
  </si>
  <si>
    <t>Dias na Semana</t>
  </si>
  <si>
    <t>Dias no Ano</t>
  </si>
  <si>
    <t>I</t>
  </si>
  <si>
    <t>Média Anual de Dias Trabalhados no Mês</t>
  </si>
  <si>
    <t>J</t>
  </si>
  <si>
    <t xml:space="preserve">Meses no Ano </t>
  </si>
  <si>
    <t>K</t>
  </si>
  <si>
    <t>Hora Normal (em minutos)</t>
  </si>
  <si>
    <t>L</t>
  </si>
  <si>
    <t>Hora Noturna (em minutos)</t>
  </si>
  <si>
    <t>Desconto Remuneração Transporte</t>
  </si>
  <si>
    <t>MÓDULO 3: PROVISÃO PARA RESCISÃO</t>
  </si>
  <si>
    <t>Provisão para Rescisão</t>
  </si>
  <si>
    <t>Dias / %</t>
  </si>
  <si>
    <t>Pessoas demitidas sem justa causa / Total de desligamentos (em %)</t>
  </si>
  <si>
    <t>Empregados que recebem aviso prévio indenizado (em %)</t>
  </si>
  <si>
    <t>Multa do FGTS (em %)</t>
  </si>
  <si>
    <t>Empregados que recebem aviso prévio trabalhado (em %)</t>
  </si>
  <si>
    <t>Dias no mês</t>
  </si>
  <si>
    <t>Dias de Ausências Legais</t>
  </si>
  <si>
    <t>Dias de Licença-Paternidade</t>
  </si>
  <si>
    <t>Nascidos Vivos / População Feminina (em %)</t>
  </si>
  <si>
    <t>Participação Masculina(em %)</t>
  </si>
  <si>
    <t>Empregados afastados por acidente de trabalho (em %)</t>
  </si>
  <si>
    <t>Dias pagos pela empresa em acidentes de trabalho</t>
  </si>
  <si>
    <t>Dias de Licença-Maternidade</t>
  </si>
  <si>
    <t>H</t>
  </si>
  <si>
    <t>Participação Feminina (em %)</t>
  </si>
  <si>
    <t>Submódulo 4.2 - Intrajornada</t>
  </si>
  <si>
    <t>Intrajornada</t>
  </si>
  <si>
    <t>Minutos / %</t>
  </si>
  <si>
    <t>ENCARGOS SOCIAIS E TRABALHISTAS</t>
  </si>
  <si>
    <t>Submódulo 2.1 - 13º (décimo terceiro) Salário e Adicional de Férias</t>
  </si>
  <si>
    <t>2.1</t>
  </si>
  <si>
    <t>13º Salário e Adicional de Férias</t>
  </si>
  <si>
    <t>Memória de Cálculo</t>
  </si>
  <si>
    <t>13º Salário</t>
  </si>
  <si>
    <t>(1/12) x 100</t>
  </si>
  <si>
    <t>Adicional de Férias</t>
  </si>
  <si>
    <t>[(1/3)/12] x 100</t>
  </si>
  <si>
    <t>Submódulo 2.2 - Encargos Previdencários (GPS), Fundo de Garantia por Tempo de Serviço (FGTS) e Outras Contribuições</t>
  </si>
  <si>
    <t>2.2</t>
  </si>
  <si>
    <t>Encargos Previdenciários (GPS), Fundo de Garantia por Tempo de Serviço (FGTS) e outras contribuições</t>
  </si>
  <si>
    <t>INSS</t>
  </si>
  <si>
    <t>Salário Educação</t>
  </si>
  <si>
    <t>Riscos Ambientas do Trabalho</t>
  </si>
  <si>
    <t>SESC</t>
  </si>
  <si>
    <t>SENAC</t>
  </si>
  <si>
    <t>SEBRAE</t>
  </si>
  <si>
    <t>INCRA</t>
  </si>
  <si>
    <t>FGTS</t>
  </si>
  <si>
    <t>TOTAL</t>
  </si>
  <si>
    <t>Aviso Prévio Indenizado</t>
  </si>
  <si>
    <t>[(56,24%) x 5,55% x (1/12)] x 100</t>
  </si>
  <si>
    <t>Incidência do FGTS sobre o Aviso Prévio Indenizado</t>
  </si>
  <si>
    <t>(8,00% x 0,26%) x 100</t>
  </si>
  <si>
    <t>Multa do FGTS e Contribuição Social sobre o Aviso Prévio Indenizado</t>
  </si>
  <si>
    <t>[(0,26%) x (40% x 8,00%] x 100</t>
  </si>
  <si>
    <t>Aviso Prévio Trabalhado</t>
  </si>
  <si>
    <t>[(56,24%) x 94,45% x (7/30)/12] x 100</t>
  </si>
  <si>
    <t>Incidência de GPS, FGTS e Outras Contribuições sobre Aviso Prévio Trabalhado</t>
  </si>
  <si>
    <t>(36,80% x 1,03%) x 100</t>
  </si>
  <si>
    <t>Multa do FGTS e Contribuição Social sobre o Aviso Prévio Trabalhado</t>
  </si>
  <si>
    <t>[(1,03%) x (40% x 8,00%)] x 100</t>
  </si>
  <si>
    <t xml:space="preserve">Substituto na Cobertura de Férias </t>
  </si>
  <si>
    <t xml:space="preserve">(1/12) x 100 </t>
  </si>
  <si>
    <t>Substituto na Cobertura de Ausências Legais</t>
  </si>
  <si>
    <t>[(8/30)/12] x 100</t>
  </si>
  <si>
    <t>Substituto na Cobertura de Licença-Paternidade</t>
  </si>
  <si>
    <t>{[(20/30)/12] x 1,416% x 45,22%} x 100</t>
  </si>
  <si>
    <t>Substituto na Cobertura de Ausência por Acidente de Trabalho</t>
  </si>
  <si>
    <t>[(15/30)/12] x 0,44%} x 100</t>
  </si>
  <si>
    <t>Substituto na Cobertura de Afastamento Maternidade</t>
  </si>
  <si>
    <t>{[(180/30)/12] x 1,416% x 54,78% x 36,80%} x 100</t>
  </si>
  <si>
    <t>CUSTOS REFERENTES AO POSTO</t>
  </si>
  <si>
    <t>Modalidade de Licitação</t>
  </si>
  <si>
    <t>DISCRIMINAÇÃO DOS SERVIÇOS (DADOS REFERENTES À CONTRATAÇÃO)</t>
  </si>
  <si>
    <t>Acordo, Conv. ou Sentença Normativa em Dissídio Coletivo (MM/AAAA)</t>
  </si>
  <si>
    <t>Quantidade de Postos</t>
  </si>
  <si>
    <t>Tipo de Serviço (mesmo serviço com características distintas)</t>
  </si>
  <si>
    <t>PLANILHA DE CUSTOS E FORMAÇÃO DE PREÇOS</t>
  </si>
  <si>
    <t>EMPREGADOS POR POSTO</t>
  </si>
  <si>
    <t>Salário-Base</t>
  </si>
  <si>
    <t>Adicional de Periculosidade</t>
  </si>
  <si>
    <t>Adicional Noturno</t>
  </si>
  <si>
    <t>Adicional de Hora Noturna Reduzida (em %)</t>
  </si>
  <si>
    <t>Adicional de Insalubridade</t>
  </si>
  <si>
    <t>Abono de Férias</t>
  </si>
  <si>
    <t>Substituto na Cobertura de Intervalo para Repouso e Alimentação</t>
  </si>
  <si>
    <t>Tributos</t>
  </si>
  <si>
    <t>QUADRO RESUMO - CUSTO POR EMPREGADO</t>
  </si>
  <si>
    <t>MÓD.</t>
  </si>
  <si>
    <t>Mão-de-obra vinculada à execução contratual (valor por empregado)</t>
  </si>
  <si>
    <t>Valor    (R$)</t>
  </si>
  <si>
    <t>Encargos e Benefícios Anuais, Mensais e Diários</t>
  </si>
  <si>
    <t>Custo de Reposição do Profissional Ausente</t>
  </si>
  <si>
    <t>VALOR TOTAL DO EMPREGADO</t>
  </si>
  <si>
    <t>VALOR TOTAL POR POSTO</t>
  </si>
  <si>
    <t>VALOR TOTAL DA CATEGORIA</t>
  </si>
  <si>
    <t>ITEM</t>
  </si>
  <si>
    <t>Descrição</t>
  </si>
  <si>
    <t>Qtde</t>
  </si>
  <si>
    <t>Valor Unitário</t>
  </si>
  <si>
    <t>Total</t>
  </si>
  <si>
    <t>TOTAL ANUAL POR FUNCIONÁRIO</t>
  </si>
  <si>
    <t>TOTAL MENSAL POR FUNCIONÁRIO</t>
  </si>
  <si>
    <t>Valor Total</t>
  </si>
  <si>
    <t>Vida útil (anos)</t>
  </si>
  <si>
    <t>Valor Residual (%)</t>
  </si>
  <si>
    <t>Valor de depreciação anual</t>
  </si>
  <si>
    <t>TOTAL POR FUNCIONÁRIO</t>
  </si>
  <si>
    <t>EPI</t>
  </si>
  <si>
    <t>Equipamentos/Ferramentas</t>
  </si>
  <si>
    <t>Camisas de malha piquê tipo polo, de manga curta, 100% algodão, na cor azul ou cor usual da empresa (exceto branco), com a logomarca da Contratada.</t>
  </si>
  <si>
    <t>Calças tipo Calça jeans com bolsos.</t>
  </si>
  <si>
    <t>Bota de segurança confeccionada em cano acolchoado e solado em emborrachado.</t>
  </si>
  <si>
    <t>Pares de meias de cano médio, 100% em algodão, na cor preta.</t>
  </si>
  <si>
    <t>Cinto de couro, na cor preta.</t>
  </si>
  <si>
    <t>UNIFORME – ELETRICISTA DE MANUTENÇÃO ELETROELETRÔNICO</t>
  </si>
  <si>
    <t>MATERIAIS DE CONSUMO</t>
  </si>
  <si>
    <t>Detergente, 5 litros.</t>
  </si>
  <si>
    <t>Estopa Branca Para Polimento, 200 g</t>
  </si>
  <si>
    <t>Lona Plástica Preta, Tam. 4M x 100M</t>
  </si>
  <si>
    <t>Luva de plástico descartável, transparente, cx com 100 unidades.</t>
  </si>
  <si>
    <t>Luvas de látex, cx com 100 unidades.</t>
  </si>
  <si>
    <t>Pano multiuso, tamanho: 50x33 cm, com 5 unidades.</t>
  </si>
  <si>
    <t>Pano de chão, 100% algodão, tamanho: 40x62 cm, pct com 25 peças.</t>
  </si>
  <si>
    <t>Saco de lixo super reforçado, 60 litros, tamanho: 63x80 cm. Biodegradável. Pacote com 100 unidades.</t>
  </si>
  <si>
    <t>Soda cáustica, 1 kg.</t>
  </si>
  <si>
    <t>Fita Isolante Anti Chama 19mm X 20m – Rolo com 20 metros</t>
  </si>
  <si>
    <t>Fita Veda Rosca 18mm x 25m – Rolo com 25 metros</t>
  </si>
  <si>
    <t>Arame galvanizado, Nº 12</t>
  </si>
  <si>
    <t>Balde de plástico 12 litros</t>
  </si>
  <si>
    <t>Bateria alcalina 9 V</t>
  </si>
  <si>
    <t>Broca de Vídea S03</t>
  </si>
  <si>
    <t>Broca de Vídea S06</t>
  </si>
  <si>
    <t>Broca de Vídea S08</t>
  </si>
  <si>
    <t>Broca de Vídea S10</t>
  </si>
  <si>
    <t>Broca de Aço Rápido 2,0 mm</t>
  </si>
  <si>
    <t>Broca de Aço Rápido 2,5 mm</t>
  </si>
  <si>
    <t>Broca de Aço Rápido 3,0 mm</t>
  </si>
  <si>
    <t>Detergente 500 ml</t>
  </si>
  <si>
    <t>Solução de limpeza multiuso 500 ml</t>
  </si>
  <si>
    <t>Estanho em fio para solda 1,0 mm – 500g</t>
  </si>
  <si>
    <t>Estopa 150 g</t>
  </si>
  <si>
    <t>Filtro descartável para aspirador de pó</t>
  </si>
  <si>
    <t>Fita auto fusão/tensão 19 mm x 10 m</t>
  </si>
  <si>
    <t>Fita isolante 19 mm x 20 m</t>
  </si>
  <si>
    <t>Fita dupla face 19mm x 20 m 3M</t>
  </si>
  <si>
    <t>Flanela 39 cm x 59 cm</t>
  </si>
  <si>
    <t>Graxa pote com 500 g</t>
  </si>
  <si>
    <t>Lâmina para arco de serra</t>
  </si>
  <si>
    <t>Limpa Contato 300ml</t>
  </si>
  <si>
    <t>Limpador e restaurador para limpeza pesada em   máquinas,   azulejos,   pisos,   vidros   de refletores e áreas técnicas</t>
  </si>
  <si>
    <t>Pilha alcalina D (grande)</t>
  </si>
  <si>
    <t>Pilha alcalina AA</t>
  </si>
  <si>
    <t>Pilha alcalina AAA (palito)</t>
  </si>
  <si>
    <t>Saco de pano alvejado</t>
  </si>
  <si>
    <t>Vaselina pasta 400g</t>
  </si>
  <si>
    <t>Desengripante WD-40 300 ml</t>
  </si>
  <si>
    <t>Arrebite POP 3,2 mm caixa com 1000 un</t>
  </si>
  <si>
    <t>Arrebite POP 4,0 mm caixa com 500 un</t>
  </si>
  <si>
    <t>Silicone Transparente cura neutra bisnaga de 280 g</t>
  </si>
  <si>
    <t>Silicone  para  vedações  em  alta  temperatura bisnaga 50g Tytan ou similar</t>
  </si>
  <si>
    <t>Terminal pré-isolado tipo Olhal</t>
  </si>
  <si>
    <t>Terminal pré-isolado tipo Pino</t>
  </si>
  <si>
    <t>Terminal pré-isolado tipo Garfo</t>
  </si>
  <si>
    <t>Terminal pré-isolado tipo Encaixe</t>
  </si>
  <si>
    <t>EQUIPAMENTOS/FERRAMENTAS – USO INDIVIDUAL</t>
  </si>
  <si>
    <t>Jogo completo de brocas de aço rápido 01 a 13 mm</t>
  </si>
  <si>
    <t>Alicate amperímetro True RMS ET-3200 A MINIPA CAT II ou similar</t>
  </si>
  <si>
    <t>Alicate bomba d'água 10" de aço cromo vanádio c/cabo isolado 1000 V GEDORE ou similar</t>
  </si>
  <si>
    <t>Alicate   de   pressão   10"   GEDORE   ou similar</t>
  </si>
  <si>
    <t>Alicate universal 8" com cabo isolado e proteção 1000 V BELZER ou similar</t>
  </si>
  <si>
    <t>Alicate   bico   fino,  6”   com   proteção   para 1000V BELZER ou similar</t>
  </si>
  <si>
    <t>Alicate de corte diagonal c/cabo isolado 6" BELZER ou similar</t>
  </si>
  <si>
    <t>Cadeado E-35 Pado ou similar</t>
  </si>
  <si>
    <t>Chave    combinada    ½"    BELZER    ou similar</t>
  </si>
  <si>
    <t>Chave  combinada  28  mm  BELZER  ou similar</t>
  </si>
  <si>
    <t>Chave   combinada   5/8"   BELZER   ou similar</t>
  </si>
  <si>
    <t>Chave   combinada   7/16"   BELZER   ou similar</t>
  </si>
  <si>
    <t>Chave   combinada   9/16"   BELZER   ou similar</t>
  </si>
  <si>
    <t>Chave combinada de 10 mm BELZER ou similar</t>
  </si>
  <si>
    <t>Chave combinada de 11 mm BELZER ou similar</t>
  </si>
  <si>
    <t>Chave combinada de 13 mm BELZER ou similar</t>
  </si>
  <si>
    <t>Chave combinada de 15 mm BELZER ou similar</t>
  </si>
  <si>
    <t>Chave combinada de 17 mm BELZER ou similar</t>
  </si>
  <si>
    <t>Chave combinada de 19 mm BELZER ou similar</t>
  </si>
  <si>
    <t>Chave combinada de 21 mm BELZER ou similar</t>
  </si>
  <si>
    <t>Chave combinada de 23 mm BELZER ou similar</t>
  </si>
  <si>
    <t>Chave  combinada  de  ¾"  BELZER  ou similar</t>
  </si>
  <si>
    <t>Chave  combinada  de  7/8"  BELZER  ou similar</t>
  </si>
  <si>
    <t>Chave combinada de 8 mm BELZER ou similar</t>
  </si>
  <si>
    <t>Chave combinada de 9 mm BELZER ou similar</t>
  </si>
  <si>
    <t>Chave de fenda cotoco ¼" x 1" BELZER ou similar</t>
  </si>
  <si>
    <t>Chave  de  fenda  ¼"  x  4"  BELZER  ou similar</t>
  </si>
  <si>
    <t>Chave de fenda de ¼" x 5" BELZER ou similar</t>
  </si>
  <si>
    <t>Chave de fenda de 1/8" x 5" BELZER ou similar</t>
  </si>
  <si>
    <t>Chave de fenda de 3/16" x 5" BELZER ou similar</t>
  </si>
  <si>
    <t>Chave de fenda de 5/16" x 10" BELZER ou similar</t>
  </si>
  <si>
    <t>Chave de boca 10 x 11 mm BELZER ou similar</t>
  </si>
  <si>
    <t>Chave de boca 12 x 13 mm BELZER ou similar</t>
  </si>
  <si>
    <t>Chave de boca 13 x 14 mm BELZER ou similar</t>
  </si>
  <si>
    <t>Chave de boca 15 x 17 mm BELZER ou similar</t>
  </si>
  <si>
    <t>Chave   philips   ¼"   x   5"   BELZER   ou similar</t>
  </si>
  <si>
    <t>Chave  philips  1/8"  x  3"  BELZER  ou similar</t>
  </si>
  <si>
    <t>Chave  philips  1/8"  x  5"  BELZER  ou similar</t>
  </si>
  <si>
    <t>Chave  philips  3/16"  x  5"  BELZER  ou similar</t>
  </si>
  <si>
    <t>Chave  philips  5/16"  x  10"  BELZER  ou similar</t>
  </si>
  <si>
    <t>Chave cotoco philips ¼" x 1 ½" BELZER ou similar</t>
  </si>
  <si>
    <t>Chave cotoco philips 3/16" x 5" BELZER ou similar</t>
  </si>
  <si>
    <t>Chave cotoco philips 1/8" x 5" BELZER ou similar</t>
  </si>
  <si>
    <t>Chave    cotoco    philips    5/16"    x    10" BELZER ou similar</t>
  </si>
  <si>
    <t>Chave inglesa 12" GEDORE ou similar</t>
  </si>
  <si>
    <t>Jogo de chave allen BELZER de 03 mm a 13 mm ou similar</t>
  </si>
  <si>
    <t>Jogo de chave allen BELZER de 1/8" a ½" ou similar</t>
  </si>
  <si>
    <t>Mala de ferramentas metálica sanfonada com 5 gavetas</t>
  </si>
  <si>
    <t>Martelo bola 200g, cabeça em aço, com corpo   em   madeira  de   alta   resistência GEDORE ou similar</t>
  </si>
  <si>
    <t>Jogo de ferramentas (talhadeira – punção -  saca-pino)  GEDORE  ref.  245  A  ou similar</t>
  </si>
  <si>
    <t>Arco  de  serra  12"  TRAMONTINA  ou similar</t>
  </si>
  <si>
    <t>Estilete 6" Tramontina ou similar</t>
  </si>
  <si>
    <t>Lanterna pequena Tramontina ou similar</t>
  </si>
  <si>
    <t>Prensa terminal com catraca 0,5 a 6 mm2</t>
  </si>
  <si>
    <t>Trena   profissional   03   m   x   16   mm Fasmatil ou similar</t>
  </si>
  <si>
    <t>Canivete   com   lâmina   em   aço   inox TRAMONTINA ou similar</t>
  </si>
  <si>
    <t>Alicate RMS ET-3170</t>
  </si>
  <si>
    <t>Alicate  crimpador  para  terminal  isolado 0,5 a 6mm²</t>
  </si>
  <si>
    <t>Alicate de bico meia cana reto com cabo isolado 8"</t>
  </si>
  <si>
    <t>Alicate de bico chato com cabo isolado 6"</t>
  </si>
  <si>
    <t>Alicate de bico meia cana reto com cabo isolado 6"</t>
  </si>
  <si>
    <t>Alicate desencapador de fios 6,5"</t>
  </si>
  <si>
    <t>Alicate eletricista multiuso 9"</t>
  </si>
  <si>
    <t>Alicate pop manual (rebitador) para rebites de 3/32"</t>
  </si>
  <si>
    <t>Alicate prensa terminal hidráulico</t>
  </si>
  <si>
    <t>Arco  de  serra  12"</t>
  </si>
  <si>
    <t>Chave de fenda Belzer ¼" x 6"</t>
  </si>
  <si>
    <t>Chave de fenda Belzer ¼" x 8"</t>
  </si>
  <si>
    <t>Chave de fenda Belzer 3/16" x 6"</t>
  </si>
  <si>
    <t>Chave  de  fenda  Belzer  5/16"  x  10"</t>
  </si>
  <si>
    <t>Chave de fenda Belzer ½"  x 12"</t>
  </si>
  <si>
    <t>Chave de fenda cotoco ¼" x 1"</t>
  </si>
  <si>
    <t>Chave de fenda cotoco Belzer 3/16 x 1"</t>
  </si>
  <si>
    <t>Chave de fenda com haste isolada Belzer ¼" x 6"</t>
  </si>
  <si>
    <t>Chave de fenda com haste isolada Belzer ¼" x 8"</t>
  </si>
  <si>
    <t>Chave de grifo Gedore 12"</t>
  </si>
  <si>
    <t>Chave de grifo Gedore 36"</t>
  </si>
  <si>
    <t>Chave de teste neon 100-500 V</t>
  </si>
  <si>
    <t>Chave inglesa 8 ou similar</t>
  </si>
  <si>
    <t>Chave philips Belzer 1/8" x 5"</t>
  </si>
  <si>
    <t>Chave philips Belzer ¼" x 6"</t>
  </si>
  <si>
    <t>Chave   philips   Belzer   3/16"   x   5"</t>
  </si>
  <si>
    <t>Chave   philips   Belzer   3/16"   x   3"</t>
  </si>
  <si>
    <t>Chave   philips   Belzer   5/16"   x   8"</t>
  </si>
  <si>
    <t>Chave philips cotoco Belzer 1/4" x 1"</t>
  </si>
  <si>
    <t>Chave philips com haste isolada 1/8" x 6"</t>
  </si>
  <si>
    <t>Chave philips com haste isolada ¼" x 6"</t>
  </si>
  <si>
    <t>Escada tipo tesoura/extensiva 04 degraus, perfis laterais de sustentação em fibra e degraus em alumínio</t>
  </si>
  <si>
    <t>Escada tipo tesoura/extensiva 07 degraus, perfis laterais de sustentação em fibra e degraus em alumínio</t>
  </si>
  <si>
    <t>Escada tipo tesoura/extensiva 09 degraus, perfis laterais de sustentação em fibra e degraus em alumínio</t>
  </si>
  <si>
    <t>Escova de aço manual sem cabo</t>
  </si>
  <si>
    <t>Estilete 6"</t>
  </si>
  <si>
    <t>Ferro de solda 220V 100 W</t>
  </si>
  <si>
    <t>Fita guia pvc 20 metros</t>
  </si>
  <si>
    <t>Furadeira/parafusadeira  de  impacto  220 V 600 W, com velocidade variável GSB 13 RE</t>
  </si>
  <si>
    <t>Furadeira Bosch industrial tipo martelete GBH 2S 220V 620 W ou similar</t>
  </si>
  <si>
    <t xml:space="preserve">Identificador automático de circuitos elétricos com receptor e transmissor que permite identificar circuitos elétricos </t>
  </si>
  <si>
    <t>Jogo completo de brocas de aço circular “serra-copo” de 1/2” a 2” - com guia</t>
  </si>
  <si>
    <t>Jogo completo de brocas de vídea 04 a 12 mm</t>
  </si>
  <si>
    <t>Jogo completo de brocas p/concreto SDS para martelete 06 a 14 mm</t>
  </si>
  <si>
    <t>Jogo completo de vazador de aço 04 a 32 mm (12 peças)</t>
  </si>
  <si>
    <t>Jogo de chave allen Belzer 3 a 13 mm ou similar</t>
  </si>
  <si>
    <t>Jogo de chave canhão curto 3 a 14 mm BELZER ou similar</t>
  </si>
  <si>
    <t>Jogo de chave de boca completo 6 a 32 mm</t>
  </si>
  <si>
    <t>Lanterna  a  pilhas  grande  e  com  alça</t>
  </si>
  <si>
    <t>Martelo bola 200g, cabeça em aço, com corpo   em   madeira  de   alta   resistência</t>
  </si>
  <si>
    <t>Medidor  de  resistência  de  aterramento (terrômetro)</t>
  </si>
  <si>
    <t>Multímetro    digital    FLUKE    117</t>
  </si>
  <si>
    <t>Alicate  wattímetro  digital  True  RMS, CAT III ET-4091</t>
  </si>
  <si>
    <t>Pistola   p/aplicação   de   silicone   280G</t>
  </si>
  <si>
    <t>Torquês armador 12"</t>
  </si>
  <si>
    <t>Trena   profissional   10   m   x   16   mm</t>
  </si>
  <si>
    <t>Passa  Fio  de  aço  sextavado  com  15m</t>
  </si>
  <si>
    <t>EQUIPAMENTOS DE PROTEÇÃO INDIVIDUAL - EPI</t>
  </si>
  <si>
    <t>Abafador de ruídos tipo concha. Atenuação de ruído: 12 dB. Ref. VONDER ou equivalente</t>
  </si>
  <si>
    <t>Bota em PVC, cano médio, sem forro. Ref.: VONDER ou equivalente</t>
  </si>
  <si>
    <t>Botina de segurança com elástico e sem bico de aço. Ref. CARTOM ou equivalente</t>
  </si>
  <si>
    <t>Capacete de segurança, Classe A, com carneira. Ref. VONDER ou equivalente</t>
  </si>
  <si>
    <t>Conjunto cinturão de segurança tipo paraquedista com fivelas para regulagens e argola dorsal para fixação de talabartes</t>
  </si>
  <si>
    <t>Cone sinalizador, cores: branco e laranja, tamanho: 50 cm. Ref. VONDER ou equivalente</t>
  </si>
  <si>
    <t xml:space="preserve">Corda de segurança, 30 Metros, 12mm, Nr18 </t>
  </si>
  <si>
    <t>Fita zebrada, cor preta e amarela, tam.: 70 mm x 200 m.</t>
  </si>
  <si>
    <t>Luva de borracha isolante 500 V</t>
  </si>
  <si>
    <t>Luva em latex, tamanho médio, cor amarela. Ref.: VOLK ou equivalente</t>
  </si>
  <si>
    <t>Luva em raspa, dorso liso, com proteção para punho 20 cm. Ref.: MELETO ou equivalente</t>
  </si>
  <si>
    <t>Luva de vaqueta - longa</t>
  </si>
  <si>
    <t>Respirador semi-facial, categoria PFF-1, sem válvula. Ref.: GRAZIA ou equivalente</t>
  </si>
  <si>
    <t>Mosquetão oval em, com abertura de 18mm e trava dupla. Ref.: CARBOGRAFITE ou equivalente</t>
  </si>
  <si>
    <t>Óculos de proteção –Incolor e antirisco SPECTRA 2000. Ref.: CARBOGRAFITE ou equivalente</t>
  </si>
  <si>
    <t>Cavalete de sinalização “EM MANUTENÇÃO”. Ref. ENCARTALE ou equivalente</t>
  </si>
  <si>
    <t>Protetor auditivo tipo plug, em silicone e cordão em PVC.Atenuação de ruído: 13 dB. Ref. VONDER ou equivalente.</t>
  </si>
  <si>
    <t>Respirador com 02 filtros, semifacial, contra vapores orgânicos e gases ácidos inclusos.</t>
  </si>
  <si>
    <t>Capacete de proteção com Jugular Classe B</t>
  </si>
  <si>
    <t>Protetor Facial 8”</t>
  </si>
  <si>
    <t>Filtro combinado</t>
  </si>
  <si>
    <t>Filtro de vapores orgânicos</t>
  </si>
  <si>
    <t>Cinto   de   Segurança   para   Atividades Suspensas    tipo    Talabarte    Mosquetão Engate Rápido</t>
  </si>
  <si>
    <t>Placa de Aviso “EM MANUTENÇÃO”</t>
  </si>
  <si>
    <t>Óculos de segurança –Transparente</t>
  </si>
  <si>
    <t>Protetor Auricular tipo fone – 103 dB</t>
  </si>
  <si>
    <t>Protetor auricular tipo plug</t>
  </si>
  <si>
    <t>Máscara de Proteção PFF-3</t>
  </si>
  <si>
    <t>Respirador    com    filtro    químico    para vapores orgânicos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</si>
</sst>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/d/yyyy"/>
    <numFmt numFmtId="165" formatCode="#,##0.00_);\(#,##0.00\)"/>
    <numFmt numFmtId="166" formatCode="#,##0_);\(#,##0\)"/>
    <numFmt numFmtId="167" formatCode="#,##0.0"/>
    <numFmt numFmtId="168" formatCode="#,##0.00_ ;\-#,##0.00\ "/>
    <numFmt numFmtId="169" formatCode="[$R$-416]\ #,##0.00;[Red]\-[$R$-416]\ #,##0.00"/>
  </numFmts>
  <fonts count="18" x14ac:knownFonts="1">
    <font>
      <sz val="10"/>
      <name val="Arial"/>
      <family val="2"/>
      <charset val="1"/>
    </font>
    <font>
      <sz val="11"/>
      <name val="Segoe UI Light"/>
      <family val="2"/>
      <charset val="1"/>
    </font>
    <font>
      <sz val="14"/>
      <name val="Segoe UI Light"/>
      <family val="2"/>
      <charset val="1"/>
    </font>
    <font>
      <sz val="8"/>
      <name val="Segoe UI Light"/>
      <family val="2"/>
      <charset val="1"/>
    </font>
    <font>
      <b/>
      <sz val="16"/>
      <color rgb="FF632523"/>
      <name val="Segoe UI Light"/>
      <family val="2"/>
      <charset val="1"/>
    </font>
    <font>
      <b/>
      <sz val="11"/>
      <color rgb="FFFFFFFF"/>
      <name val="Segoe UI Light"/>
      <family val="2"/>
      <charset val="1"/>
    </font>
    <font>
      <b/>
      <sz val="11"/>
      <name val="Segoe UI Light"/>
      <family val="2"/>
      <charset val="1"/>
    </font>
    <font>
      <b/>
      <sz val="11"/>
      <color rgb="FF632523"/>
      <name val="Segoe UI Light"/>
      <family val="2"/>
      <charset val="1"/>
    </font>
    <font>
      <sz val="11"/>
      <color rgb="FFFF0000"/>
      <name val="Segoe UI Light"/>
      <family val="2"/>
      <charset val="1"/>
    </font>
    <font>
      <i/>
      <sz val="10"/>
      <color rgb="FFFFFFFF"/>
      <name val="Segoe UI Light"/>
      <family val="2"/>
      <charset val="1"/>
    </font>
    <font>
      <b/>
      <sz val="14"/>
      <color rgb="FF953735"/>
      <name val="Segoe UI Light"/>
      <family val="2"/>
      <charset val="1"/>
    </font>
    <font>
      <sz val="11"/>
      <color rgb="FF953735"/>
      <name val="Segoe UI Light"/>
      <family val="2"/>
      <charset val="1"/>
    </font>
    <font>
      <b/>
      <sz val="12"/>
      <color rgb="FF632523"/>
      <name val="Segoe UI Light"/>
      <family val="2"/>
      <charset val="1"/>
    </font>
    <font>
      <b/>
      <sz val="20"/>
      <color rgb="FF953735"/>
      <name val="Segoe UI Light"/>
      <family val="2"/>
      <charset val="1"/>
    </font>
    <font>
      <b/>
      <sz val="16"/>
      <name val="Segoe UI Light"/>
      <family val="2"/>
      <charset val="1"/>
    </font>
    <font>
      <i/>
      <sz val="10"/>
      <name val="Segoe UI Light"/>
      <family val="2"/>
      <charset val="1"/>
    </font>
    <font>
      <b/>
      <sz val="14"/>
      <color rgb="FF632523"/>
      <name val="Segoe UI Light"/>
      <family val="2"/>
      <charset val="1"/>
    </font>
    <font>
      <sz val="11"/>
      <color rgb="FF000000"/>
      <name val="Segoe UI Light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79646"/>
        <bgColor rgb="FFFF8080"/>
      </patternFill>
    </fill>
    <fill>
      <patternFill patternType="solid">
        <fgColor rgb="FFFDEADA"/>
        <bgColor rgb="FFF2F2F2"/>
      </patternFill>
    </fill>
    <fill>
      <patternFill patternType="solid">
        <fgColor rgb="FFD55816"/>
        <bgColor rgb="FF993300"/>
      </patternFill>
    </fill>
    <fill>
      <patternFill patternType="solid">
        <fgColor rgb="FFFCD5B5"/>
        <bgColor rgb="FFFDEADA"/>
      </patternFill>
    </fill>
  </fills>
  <borders count="9">
    <border>
      <left/>
      <right/>
      <top/>
      <bottom/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/>
      <top style="thin">
        <color rgb="FFF2F2F2"/>
      </top>
      <bottom style="thin">
        <color rgb="FFF2F2F2"/>
      </bottom>
      <diagonal/>
    </border>
    <border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>
      <left/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2F2F2"/>
      </top>
      <bottom/>
      <diagonal/>
    </border>
    <border>
      <left/>
      <right/>
      <top/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</borders>
  <cellStyleXfs count="1">
    <xf numFmtId="0" fontId="0" fillId="0" borderId="0"/>
  </cellStyleXfs>
  <cellXfs count="172">
    <xf numFmtId="0" fontId="0" fillId="0" borderId="0" xfId="0"/>
    <xf numFmtId="165" fontId="1" fillId="4" borderId="1" xfId="0" applyNumberFormat="1" applyFont="1" applyFill="1" applyBorder="1" applyAlignment="1">
      <alignment horizontal="left" vertical="center" wrapText="1"/>
    </xf>
    <xf numFmtId="165" fontId="1" fillId="6" borderId="1" xfId="0" applyNumberFormat="1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alignment horizontal="left" vertical="center"/>
      <protection locked="0"/>
    </xf>
    <xf numFmtId="49" fontId="1" fillId="3" borderId="1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>
      <alignment horizontal="left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left"/>
    </xf>
    <xf numFmtId="0" fontId="5" fillId="5" borderId="3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2" fillId="3" borderId="1" xfId="0" applyFont="1" applyFill="1" applyBorder="1" applyAlignment="1" applyProtection="1">
      <alignment horizontal="left"/>
      <protection locked="0"/>
    </xf>
    <xf numFmtId="0" fontId="1" fillId="2" borderId="0" xfId="0" applyFont="1" applyFill="1"/>
    <xf numFmtId="0" fontId="2" fillId="4" borderId="2" xfId="0" applyFont="1" applyFill="1" applyBorder="1" applyAlignment="1">
      <alignment horizontal="right"/>
    </xf>
    <xf numFmtId="0" fontId="2" fillId="3" borderId="2" xfId="0" applyFont="1" applyFill="1" applyBorder="1" applyProtection="1">
      <protection locked="0"/>
    </xf>
    <xf numFmtId="0" fontId="3" fillId="2" borderId="0" xfId="0" applyFont="1" applyFill="1"/>
    <xf numFmtId="49" fontId="1" fillId="3" borderId="1" xfId="0" applyNumberFormat="1" applyFont="1" applyFill="1" applyBorder="1" applyAlignment="1" applyProtection="1">
      <alignment horizontal="center"/>
      <protection locked="0"/>
    </xf>
    <xf numFmtId="0" fontId="6" fillId="2" borderId="0" xfId="0" applyFont="1" applyFill="1"/>
    <xf numFmtId="0" fontId="6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center"/>
    </xf>
    <xf numFmtId="0" fontId="5" fillId="5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justify" vertical="center" wrapText="1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 applyProtection="1">
      <alignment horizontal="left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/>
    </xf>
    <xf numFmtId="0" fontId="1" fillId="6" borderId="1" xfId="0" applyFont="1" applyFill="1" applyBorder="1"/>
    <xf numFmtId="0" fontId="1" fillId="4" borderId="1" xfId="0" applyFont="1" applyFill="1" applyBorder="1"/>
    <xf numFmtId="4" fontId="1" fillId="3" borderId="1" xfId="0" applyNumberFormat="1" applyFont="1" applyFill="1" applyBorder="1" applyAlignment="1" applyProtection="1">
      <alignment horizontal="right"/>
      <protection locked="0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center"/>
    </xf>
    <xf numFmtId="0" fontId="4" fillId="2" borderId="0" xfId="0" applyFont="1" applyFill="1"/>
    <xf numFmtId="0" fontId="7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right"/>
    </xf>
    <xf numFmtId="0" fontId="5" fillId="5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3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/>
    <xf numFmtId="165" fontId="1" fillId="2" borderId="0" xfId="0" applyNumberFormat="1" applyFont="1" applyFill="1" applyAlignment="1">
      <alignment horizontal="center"/>
    </xf>
    <xf numFmtId="0" fontId="5" fillId="5" borderId="4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4" borderId="1" xfId="0" applyFont="1" applyFill="1" applyBorder="1" applyAlignment="1">
      <alignment horizontal="center"/>
    </xf>
    <xf numFmtId="166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165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165" fontId="6" fillId="2" borderId="0" xfId="0" applyNumberFormat="1" applyFont="1" applyFill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165" fontId="1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Alignment="1">
      <alignment wrapText="1"/>
    </xf>
    <xf numFmtId="0" fontId="8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165" fontId="1" fillId="3" borderId="1" xfId="0" applyNumberFormat="1" applyFont="1" applyFill="1" applyBorder="1" applyAlignment="1" applyProtection="1">
      <alignment vertical="center" wrapText="1"/>
      <protection locked="0"/>
    </xf>
    <xf numFmtId="0" fontId="9" fillId="5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 wrapText="1"/>
    </xf>
    <xf numFmtId="165" fontId="11" fillId="2" borderId="0" xfId="0" applyNumberFormat="1" applyFont="1" applyFill="1" applyAlignment="1">
      <alignment horizontal="center" vertical="center" wrapText="1"/>
    </xf>
    <xf numFmtId="3" fontId="1" fillId="6" borderId="1" xfId="0" applyNumberFormat="1" applyFont="1" applyFill="1" applyBorder="1" applyAlignment="1">
      <alignment horizontal="right" vertical="center" wrapText="1"/>
    </xf>
    <xf numFmtId="3" fontId="1" fillId="4" borderId="1" xfId="0" applyNumberFormat="1" applyFont="1" applyFill="1" applyBorder="1" applyAlignment="1">
      <alignment horizontal="right" vertical="center" wrapText="1"/>
    </xf>
    <xf numFmtId="167" fontId="1" fillId="4" borderId="1" xfId="0" applyNumberFormat="1" applyFont="1" applyFill="1" applyBorder="1" applyAlignment="1">
      <alignment horizontal="right" vertical="center" wrapText="1"/>
    </xf>
    <xf numFmtId="167" fontId="1" fillId="6" borderId="1" xfId="0" applyNumberFormat="1" applyFont="1" applyFill="1" applyBorder="1" applyAlignment="1">
      <alignment horizontal="right" vertical="center" wrapText="1"/>
    </xf>
    <xf numFmtId="166" fontId="1" fillId="4" borderId="1" xfId="0" applyNumberFormat="1" applyFont="1" applyFill="1" applyBorder="1" applyAlignment="1">
      <alignment horizontal="right" vertical="center" wrapText="1"/>
    </xf>
    <xf numFmtId="165" fontId="1" fillId="6" borderId="1" xfId="0" applyNumberFormat="1" applyFont="1" applyFill="1" applyBorder="1" applyAlignment="1">
      <alignment horizontal="right" vertical="center" wrapText="1"/>
    </xf>
    <xf numFmtId="165" fontId="1" fillId="4" borderId="1" xfId="0" applyNumberFormat="1" applyFont="1" applyFill="1" applyBorder="1" applyAlignment="1">
      <alignment horizontal="right" vertical="center" wrapText="1"/>
    </xf>
    <xf numFmtId="166" fontId="1" fillId="6" borderId="1" xfId="0" applyNumberFormat="1" applyFont="1" applyFill="1" applyBorder="1" applyAlignment="1">
      <alignment horizontal="right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 wrapText="1"/>
    </xf>
    <xf numFmtId="2" fontId="5" fillId="5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164" fontId="2" fillId="4" borderId="2" xfId="0" applyNumberFormat="1" applyFont="1" applyFill="1" applyBorder="1" applyAlignment="1">
      <alignment horizontal="right"/>
    </xf>
    <xf numFmtId="164" fontId="2" fillId="4" borderId="2" xfId="0" applyNumberFormat="1" applyFont="1" applyFill="1" applyBorder="1"/>
    <xf numFmtId="49" fontId="1" fillId="4" borderId="1" xfId="0" applyNumberFormat="1" applyFont="1" applyFill="1" applyBorder="1" applyAlignment="1">
      <alignment horizontal="center"/>
    </xf>
    <xf numFmtId="164" fontId="1" fillId="6" borderId="1" xfId="0" applyNumberFormat="1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vertical="top"/>
    </xf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vertical="top"/>
    </xf>
    <xf numFmtId="164" fontId="1" fillId="4" borderId="1" xfId="0" applyNumberFormat="1" applyFont="1" applyFill="1" applyBorder="1" applyAlignment="1">
      <alignment horizontal="center"/>
    </xf>
    <xf numFmtId="0" fontId="11" fillId="2" borderId="0" xfId="0" applyFont="1" applyFill="1"/>
    <xf numFmtId="166" fontId="1" fillId="6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right" vertical="center" wrapText="1"/>
    </xf>
    <xf numFmtId="4" fontId="1" fillId="4" borderId="1" xfId="0" applyNumberFormat="1" applyFont="1" applyFill="1" applyBorder="1" applyAlignment="1">
      <alignment horizontal="right" vertical="center" wrapText="1"/>
    </xf>
    <xf numFmtId="4" fontId="5" fillId="5" borderId="1" xfId="0" applyNumberFormat="1" applyFont="1" applyFill="1" applyBorder="1" applyAlignment="1">
      <alignment horizontal="right" vertical="center" wrapText="1"/>
    </xf>
    <xf numFmtId="4" fontId="5" fillId="5" borderId="1" xfId="0" applyNumberFormat="1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right" vertical="center"/>
    </xf>
    <xf numFmtId="0" fontId="14" fillId="2" borderId="0" xfId="0" applyFont="1" applyFill="1" applyAlignment="1">
      <alignment horizontal="left" vertical="center"/>
    </xf>
    <xf numFmtId="168" fontId="1" fillId="4" borderId="1" xfId="0" applyNumberFormat="1" applyFont="1" applyFill="1" applyBorder="1" applyAlignment="1">
      <alignment horizontal="center" vertical="center" wrapText="1"/>
    </xf>
    <xf numFmtId="165" fontId="1" fillId="6" borderId="5" xfId="0" applyNumberFormat="1" applyFont="1" applyFill="1" applyBorder="1" applyAlignment="1">
      <alignment horizontal="right" vertical="center" wrapText="1"/>
    </xf>
    <xf numFmtId="165" fontId="1" fillId="4" borderId="5" xfId="0" applyNumberFormat="1" applyFont="1" applyFill="1" applyBorder="1" applyAlignment="1">
      <alignment horizontal="right" vertical="center" wrapText="1"/>
    </xf>
    <xf numFmtId="4" fontId="5" fillId="5" borderId="5" xfId="0" applyNumberFormat="1" applyFont="1" applyFill="1" applyBorder="1" applyAlignment="1">
      <alignment horizontal="right" vertical="center" wrapText="1"/>
    </xf>
    <xf numFmtId="165" fontId="1" fillId="6" borderId="1" xfId="0" applyNumberFormat="1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165" fontId="15" fillId="4" borderId="1" xfId="0" applyNumberFormat="1" applyFont="1" applyFill="1" applyBorder="1" applyAlignment="1">
      <alignment horizontal="center" vertical="center" wrapText="1"/>
    </xf>
    <xf numFmtId="165" fontId="15" fillId="4" borderId="1" xfId="0" applyNumberFormat="1" applyFont="1" applyFill="1" applyBorder="1" applyAlignment="1">
      <alignment horizontal="right" vertical="center" wrapText="1"/>
    </xf>
    <xf numFmtId="165" fontId="15" fillId="6" borderId="1" xfId="0" applyNumberFormat="1" applyFont="1" applyFill="1" applyBorder="1" applyAlignment="1">
      <alignment horizontal="center" vertical="center" wrapText="1"/>
    </xf>
    <xf numFmtId="165" fontId="15" fillId="6" borderId="1" xfId="0" applyNumberFormat="1" applyFont="1" applyFill="1" applyBorder="1" applyAlignment="1">
      <alignment horizontal="right" vertical="center" wrapText="1"/>
    </xf>
    <xf numFmtId="165" fontId="5" fillId="5" borderId="1" xfId="0" applyNumberFormat="1" applyFont="1" applyFill="1" applyBorder="1" applyAlignment="1">
      <alignment horizontal="right" vertical="center" wrapText="1"/>
    </xf>
    <xf numFmtId="0" fontId="16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165" fontId="1" fillId="2" borderId="0" xfId="0" applyNumberFormat="1" applyFont="1" applyFill="1" applyAlignment="1">
      <alignment horizontal="center" vertical="center" wrapText="1"/>
    </xf>
    <xf numFmtId="0" fontId="7" fillId="0" borderId="0" xfId="0" applyFont="1"/>
    <xf numFmtId="0" fontId="5" fillId="5" borderId="3" xfId="0" applyFont="1" applyFill="1" applyBorder="1" applyAlignment="1">
      <alignment horizontal="center"/>
    </xf>
    <xf numFmtId="0" fontId="1" fillId="6" borderId="1" xfId="0" applyFont="1" applyFill="1" applyBorder="1" applyAlignment="1">
      <alignment wrapText="1" shrinkToFit="1"/>
    </xf>
    <xf numFmtId="0" fontId="1" fillId="6" borderId="1" xfId="0" applyFont="1" applyFill="1" applyBorder="1" applyAlignment="1">
      <alignment horizontal="center" vertical="center"/>
    </xf>
    <xf numFmtId="169" fontId="1" fillId="6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wrapText="1" shrinkToFit="1"/>
    </xf>
    <xf numFmtId="0" fontId="1" fillId="4" borderId="1" xfId="0" applyFont="1" applyFill="1" applyBorder="1" applyAlignment="1">
      <alignment horizontal="center" vertical="center"/>
    </xf>
    <xf numFmtId="169" fontId="1" fillId="4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wrapText="1" shrinkToFit="1"/>
    </xf>
    <xf numFmtId="0" fontId="1" fillId="4" borderId="1" xfId="0" applyFont="1" applyFill="1" applyBorder="1" applyAlignment="1">
      <alignment horizontal="left" wrapText="1" shrinkToFit="1"/>
    </xf>
    <xf numFmtId="169" fontId="5" fillId="5" borderId="1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 vertical="center" wrapText="1"/>
    </xf>
    <xf numFmtId="0" fontId="17" fillId="6" borderId="0" xfId="0" applyFont="1" applyFill="1"/>
    <xf numFmtId="169" fontId="1" fillId="6" borderId="1" xfId="0" applyNumberFormat="1" applyFont="1" applyFill="1" applyBorder="1" applyAlignment="1">
      <alignment horizontal="right" vertical="center"/>
    </xf>
    <xf numFmtId="3" fontId="1" fillId="6" borderId="1" xfId="0" applyNumberFormat="1" applyFont="1" applyFill="1" applyBorder="1" applyAlignment="1">
      <alignment horizontal="right" vertical="center"/>
    </xf>
    <xf numFmtId="0" fontId="17" fillId="4" borderId="0" xfId="0" applyFont="1" applyFill="1"/>
    <xf numFmtId="169" fontId="1" fillId="4" borderId="1" xfId="0" applyNumberFormat="1" applyFont="1" applyFill="1" applyBorder="1" applyAlignment="1">
      <alignment horizontal="right" vertical="center"/>
    </xf>
    <xf numFmtId="3" fontId="1" fillId="4" borderId="1" xfId="0" applyNumberFormat="1" applyFont="1" applyFill="1" applyBorder="1" applyAlignment="1">
      <alignment horizontal="right" vertical="center"/>
    </xf>
    <xf numFmtId="0" fontId="1" fillId="4" borderId="0" xfId="0" applyFont="1" applyFill="1" applyAlignment="1">
      <alignment horizontal="center"/>
    </xf>
    <xf numFmtId="169" fontId="1" fillId="4" borderId="0" xfId="0" applyNumberFormat="1" applyFont="1" applyFill="1" applyAlignment="1">
      <alignment horizontal="right"/>
    </xf>
    <xf numFmtId="3" fontId="1" fillId="4" borderId="0" xfId="0" applyNumberFormat="1" applyFont="1" applyFill="1" applyAlignment="1">
      <alignment horizontal="right"/>
    </xf>
    <xf numFmtId="0" fontId="1" fillId="6" borderId="0" xfId="0" applyFont="1" applyFill="1" applyAlignment="1">
      <alignment horizontal="center"/>
    </xf>
    <xf numFmtId="169" fontId="1" fillId="6" borderId="0" xfId="0" applyNumberFormat="1" applyFont="1" applyFill="1" applyAlignment="1">
      <alignment horizontal="right"/>
    </xf>
    <xf numFmtId="169" fontId="5" fillId="5" borderId="3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 applyProtection="1">
      <alignment horizontal="left" vertical="center" wrapText="1"/>
      <protection locked="0"/>
    </xf>
    <xf numFmtId="4" fontId="1" fillId="3" borderId="1" xfId="0" applyNumberFormat="1" applyFont="1" applyFill="1" applyBorder="1" applyAlignment="1" applyProtection="1">
      <alignment horizontal="left" vertical="center" wrapText="1"/>
      <protection locked="0"/>
    </xf>
    <xf numFmtId="0" fontId="5" fillId="5" borderId="1" xfId="0" applyFont="1" applyFill="1" applyBorder="1" applyAlignment="1">
      <alignment horizontal="left" vertical="center"/>
    </xf>
    <xf numFmtId="0" fontId="5" fillId="5" borderId="5" xfId="0" applyFont="1" applyFill="1" applyBorder="1" applyAlignment="1">
      <alignment horizontal="left" vertical="center" wrapText="1"/>
    </xf>
    <xf numFmtId="0" fontId="1" fillId="6" borderId="5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wrapText="1"/>
    </xf>
    <xf numFmtId="0" fontId="1" fillId="6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justify" vertical="center" wrapText="1"/>
    </xf>
    <xf numFmtId="0" fontId="1" fillId="4" borderId="1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horizontal="justify" vertical="center"/>
    </xf>
    <xf numFmtId="0" fontId="1" fillId="4" borderId="1" xfId="0" applyFont="1" applyFill="1" applyBorder="1" applyAlignment="1">
      <alignment horizontal="justify" vertical="center"/>
    </xf>
    <xf numFmtId="0" fontId="2" fillId="6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0" fontId="1" fillId="6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wrapText="1"/>
    </xf>
    <xf numFmtId="0" fontId="7" fillId="2" borderId="0" xfId="0" applyFont="1" applyFill="1" applyAlignment="1">
      <alignment horizontal="justify" vertical="center" wrapText="1"/>
    </xf>
    <xf numFmtId="4" fontId="1" fillId="4" borderId="1" xfId="0" applyNumberFormat="1" applyFont="1" applyFill="1" applyBorder="1" applyAlignment="1">
      <alignment horizontal="left" vertical="center" wrapText="1"/>
    </xf>
    <xf numFmtId="4" fontId="1" fillId="4" borderId="5" xfId="0" applyNumberFormat="1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 indent="1"/>
    </xf>
    <xf numFmtId="0" fontId="15" fillId="6" borderId="1" xfId="0" applyFont="1" applyFill="1" applyBorder="1" applyAlignment="1">
      <alignment horizontal="left" vertical="center" wrapText="1" inden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169" fontId="5" fillId="5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53735"/>
      <rgbColor rgb="FFFDEADA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79646"/>
      <rgbColor rgb="FFD55816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6325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75"/>
  <sheetViews>
    <sheetView topLeftCell="A46" zoomScaleNormal="100" workbookViewId="0">
      <selection activeCell="F65" sqref="F65"/>
    </sheetView>
  </sheetViews>
  <sheetFormatPr defaultRowHeight="16.5" x14ac:dyDescent="0.45"/>
  <cols>
    <col min="1" max="1" width="2.7265625" style="15" customWidth="1"/>
    <col min="2" max="2" width="8.81640625" style="15" customWidth="1"/>
    <col min="3" max="3" width="52.54296875" style="15" customWidth="1"/>
    <col min="4" max="4" width="9.54296875" style="15" customWidth="1"/>
    <col min="5" max="5" width="13.54296875" style="15" customWidth="1"/>
    <col min="6" max="6" width="15.453125" style="15" customWidth="1"/>
    <col min="7" max="1025" width="9.08984375" style="15" customWidth="1"/>
  </cols>
  <sheetData>
    <row r="1" spans="2:6" ht="21" x14ac:dyDescent="0.55000000000000004">
      <c r="B1" s="14" t="s">
        <v>0</v>
      </c>
      <c r="C1" s="14"/>
      <c r="D1" s="14"/>
      <c r="E1" s="14"/>
      <c r="F1" s="14"/>
    </row>
    <row r="2" spans="2:6" ht="21" x14ac:dyDescent="0.55000000000000004">
      <c r="B2" s="14" t="s">
        <v>1</v>
      </c>
      <c r="C2" s="14"/>
      <c r="D2" s="14"/>
      <c r="E2" s="16" t="s">
        <v>2</v>
      </c>
      <c r="F2" s="17" t="s">
        <v>3</v>
      </c>
    </row>
    <row r="3" spans="2:6" x14ac:dyDescent="0.45">
      <c r="B3" s="18"/>
      <c r="C3" s="18"/>
      <c r="D3" s="18"/>
      <c r="E3" s="18"/>
      <c r="F3" s="18"/>
    </row>
    <row r="4" spans="2:6" s="18" customFormat="1" ht="25" x14ac:dyDescent="0.7">
      <c r="B4" s="13" t="s">
        <v>4</v>
      </c>
      <c r="C4" s="13"/>
      <c r="D4" s="13"/>
      <c r="E4" s="13"/>
      <c r="F4" s="13"/>
    </row>
    <row r="5" spans="2:6" s="18" customFormat="1" ht="16" customHeight="1" x14ac:dyDescent="0.45">
      <c r="B5" s="12" t="s">
        <v>5</v>
      </c>
      <c r="C5" s="12"/>
      <c r="D5" s="12"/>
      <c r="E5" s="12"/>
      <c r="F5" s="12"/>
    </row>
    <row r="6" spans="2:6" s="18" customFormat="1" ht="16" customHeight="1" x14ac:dyDescent="0.45">
      <c r="B6" s="11" t="s">
        <v>6</v>
      </c>
      <c r="C6" s="11"/>
      <c r="D6" s="10" t="s">
        <v>7</v>
      </c>
      <c r="E6" s="10"/>
      <c r="F6" s="10"/>
    </row>
    <row r="7" spans="2:6" s="18" customFormat="1" ht="15.75" customHeight="1" x14ac:dyDescent="0.45">
      <c r="B7" s="9" t="s">
        <v>8</v>
      </c>
      <c r="C7" s="9"/>
      <c r="D7" s="8" t="s">
        <v>9</v>
      </c>
      <c r="E7" s="8"/>
      <c r="F7" s="19" t="s">
        <v>10</v>
      </c>
    </row>
    <row r="8" spans="2:6" s="18" customFormat="1" ht="15.75" customHeight="1" x14ac:dyDescent="0.45">
      <c r="B8" s="11" t="s">
        <v>11</v>
      </c>
      <c r="C8" s="11"/>
      <c r="D8" s="7" t="s">
        <v>3</v>
      </c>
      <c r="E8" s="7"/>
      <c r="F8" s="19" t="s">
        <v>12</v>
      </c>
    </row>
    <row r="9" spans="2:6" s="18" customFormat="1" ht="9.75" customHeight="1" x14ac:dyDescent="0.45">
      <c r="C9" s="20"/>
      <c r="D9" s="21"/>
      <c r="E9" s="21"/>
      <c r="F9" s="22"/>
    </row>
    <row r="10" spans="2:6" s="18" customFormat="1" ht="15.75" customHeight="1" x14ac:dyDescent="0.45">
      <c r="B10" s="12" t="s">
        <v>13</v>
      </c>
      <c r="C10" s="12"/>
      <c r="D10" s="12"/>
      <c r="E10" s="12"/>
      <c r="F10" s="12"/>
    </row>
    <row r="11" spans="2:6" s="18" customFormat="1" ht="18" customHeight="1" x14ac:dyDescent="0.45">
      <c r="B11" s="23" t="s">
        <v>14</v>
      </c>
      <c r="C11" s="11" t="s">
        <v>15</v>
      </c>
      <c r="D11" s="11"/>
      <c r="E11" s="11"/>
      <c r="F11" s="24" t="s">
        <v>3</v>
      </c>
    </row>
    <row r="12" spans="2:6" s="18" customFormat="1" ht="16" customHeight="1" x14ac:dyDescent="0.3">
      <c r="B12" s="25" t="s">
        <v>16</v>
      </c>
      <c r="C12" s="26" t="s">
        <v>17</v>
      </c>
      <c r="D12" s="6" t="s">
        <v>18</v>
      </c>
      <c r="E12" s="6"/>
      <c r="F12" s="6"/>
    </row>
    <row r="13" spans="2:6" s="18" customFormat="1" ht="16" customHeight="1" x14ac:dyDescent="0.45">
      <c r="B13" s="23" t="s">
        <v>19</v>
      </c>
      <c r="C13" s="11" t="s">
        <v>20</v>
      </c>
      <c r="D13" s="11"/>
      <c r="E13" s="11"/>
      <c r="F13" s="27" t="s">
        <v>21</v>
      </c>
    </row>
    <row r="14" spans="2:6" s="18" customFormat="1" ht="18.75" customHeight="1" x14ac:dyDescent="0.45">
      <c r="B14" s="25" t="s">
        <v>22</v>
      </c>
      <c r="C14" s="5" t="s">
        <v>23</v>
      </c>
      <c r="D14" s="5"/>
      <c r="E14" s="5"/>
      <c r="F14" s="19" t="s">
        <v>24</v>
      </c>
    </row>
    <row r="15" spans="2:6" s="18" customFormat="1" ht="16" customHeight="1" x14ac:dyDescent="0.45">
      <c r="B15" s="25" t="s">
        <v>25</v>
      </c>
      <c r="C15" s="11" t="s">
        <v>26</v>
      </c>
      <c r="D15" s="11"/>
      <c r="E15" s="11"/>
      <c r="F15" s="29">
        <v>12</v>
      </c>
    </row>
    <row r="16" spans="2:6" s="18" customFormat="1" ht="16" customHeight="1" x14ac:dyDescent="0.45">
      <c r="C16" s="20"/>
      <c r="D16" s="21"/>
      <c r="E16" s="21"/>
      <c r="F16" s="22"/>
    </row>
    <row r="17" spans="2:6" s="18" customFormat="1" x14ac:dyDescent="0.45">
      <c r="B17" s="12" t="s">
        <v>27</v>
      </c>
      <c r="C17" s="12"/>
      <c r="D17" s="12"/>
      <c r="E17" s="12"/>
      <c r="F17" s="12"/>
    </row>
    <row r="18" spans="2:6" s="30" customFormat="1" ht="49.5" x14ac:dyDescent="0.25">
      <c r="B18" s="31" t="s">
        <v>28</v>
      </c>
      <c r="C18" s="31" t="s">
        <v>29</v>
      </c>
      <c r="D18" s="32" t="s">
        <v>30</v>
      </c>
      <c r="E18" s="32" t="s">
        <v>31</v>
      </c>
      <c r="F18" s="32" t="s">
        <v>32</v>
      </c>
    </row>
    <row r="19" spans="2:6" s="18" customFormat="1" ht="16.5" customHeight="1" x14ac:dyDescent="0.45">
      <c r="B19" s="23">
        <v>1</v>
      </c>
      <c r="C19" s="33" t="s">
        <v>33</v>
      </c>
      <c r="D19" s="34" t="s">
        <v>34</v>
      </c>
      <c r="E19" s="35">
        <v>1</v>
      </c>
      <c r="F19" s="34">
        <v>1</v>
      </c>
    </row>
    <row r="20" spans="2:6" s="18" customFormat="1" ht="16" customHeight="1" x14ac:dyDescent="0.45">
      <c r="B20" s="36"/>
      <c r="C20" s="36"/>
      <c r="D20" s="36"/>
      <c r="E20" s="36"/>
      <c r="F20" s="36"/>
    </row>
    <row r="21" spans="2:6" s="18" customFormat="1" ht="15" customHeight="1" x14ac:dyDescent="0.45">
      <c r="B21" s="12" t="s">
        <v>35</v>
      </c>
      <c r="C21" s="12"/>
      <c r="D21" s="12"/>
      <c r="E21" s="12"/>
      <c r="F21" s="12"/>
    </row>
    <row r="22" spans="2:6" s="18" customFormat="1" ht="15" customHeight="1" x14ac:dyDescent="0.45">
      <c r="B22" s="23">
        <v>1</v>
      </c>
      <c r="C22" s="37" t="s">
        <v>36</v>
      </c>
      <c r="D22" s="10" t="s">
        <v>37</v>
      </c>
      <c r="E22" s="10"/>
      <c r="F22" s="10"/>
    </row>
    <row r="23" spans="2:6" s="18" customFormat="1" ht="23" customHeight="1" x14ac:dyDescent="0.45">
      <c r="B23" s="23">
        <v>2</v>
      </c>
      <c r="C23" s="38" t="s">
        <v>38</v>
      </c>
      <c r="D23" s="4" t="s">
        <v>39</v>
      </c>
      <c r="E23" s="4"/>
      <c r="F23" s="4"/>
    </row>
    <row r="24" spans="2:6" s="18" customFormat="1" ht="16" customHeight="1" x14ac:dyDescent="0.45">
      <c r="B24" s="23">
        <v>3</v>
      </c>
      <c r="C24" s="11" t="s">
        <v>40</v>
      </c>
      <c r="D24" s="11"/>
      <c r="E24" s="11"/>
      <c r="F24" s="24">
        <v>45658</v>
      </c>
    </row>
    <row r="25" spans="2:6" s="18" customFormat="1" ht="16" customHeight="1" x14ac:dyDescent="0.45">
      <c r="B25" s="23">
        <v>4</v>
      </c>
      <c r="C25" s="9" t="s">
        <v>41</v>
      </c>
      <c r="D25" s="9"/>
      <c r="E25" s="9"/>
      <c r="F25" s="39">
        <v>1518</v>
      </c>
    </row>
    <row r="26" spans="2:6" s="18" customFormat="1" x14ac:dyDescent="0.45">
      <c r="B26" s="40"/>
      <c r="C26" s="41"/>
      <c r="D26" s="41"/>
      <c r="E26" s="41"/>
      <c r="F26" s="42"/>
    </row>
    <row r="27" spans="2:6" s="18" customFormat="1" ht="25" x14ac:dyDescent="0.7">
      <c r="B27" s="43" t="s">
        <v>42</v>
      </c>
      <c r="C27" s="15"/>
      <c r="D27" s="15"/>
      <c r="E27" s="15"/>
      <c r="F27" s="15"/>
    </row>
    <row r="28" spans="2:6" x14ac:dyDescent="0.45">
      <c r="B28" s="44" t="s">
        <v>43</v>
      </c>
      <c r="E28" s="45"/>
      <c r="F28" s="45"/>
    </row>
    <row r="29" spans="2:6" ht="16.5" customHeight="1" x14ac:dyDescent="0.45">
      <c r="B29" s="25">
        <v>1</v>
      </c>
      <c r="C29" s="3" t="s">
        <v>44</v>
      </c>
      <c r="D29" s="3"/>
      <c r="E29" s="3"/>
      <c r="F29" s="46" t="s">
        <v>45</v>
      </c>
    </row>
    <row r="30" spans="2:6" ht="16.399999999999999" customHeight="1" x14ac:dyDescent="0.45">
      <c r="B30" s="25" t="s">
        <v>14</v>
      </c>
      <c r="C30" s="2" t="s">
        <v>46</v>
      </c>
      <c r="D30" s="2"/>
      <c r="E30" s="2"/>
      <c r="F30" s="47">
        <v>2537.0500000000002</v>
      </c>
    </row>
    <row r="31" spans="2:6" ht="16.5" customHeight="1" x14ac:dyDescent="0.45">
      <c r="B31" s="25" t="s">
        <v>16</v>
      </c>
      <c r="C31" s="5" t="s">
        <v>47</v>
      </c>
      <c r="D31" s="5"/>
      <c r="E31" s="5"/>
      <c r="F31" s="48"/>
    </row>
    <row r="32" spans="2:6" ht="16.5" customHeight="1" x14ac:dyDescent="0.45">
      <c r="B32" s="25" t="s">
        <v>19</v>
      </c>
      <c r="C32" s="2" t="s">
        <v>48</v>
      </c>
      <c r="D32" s="2"/>
      <c r="E32" s="2"/>
      <c r="F32" s="48"/>
    </row>
    <row r="33" spans="1:6" ht="16.5" customHeight="1" x14ac:dyDescent="0.45">
      <c r="B33" s="25" t="s">
        <v>22</v>
      </c>
      <c r="C33" s="1" t="s">
        <v>49</v>
      </c>
      <c r="D33" s="1"/>
      <c r="E33" s="1"/>
      <c r="F33" s="48"/>
    </row>
    <row r="34" spans="1:6" ht="16.5" customHeight="1" x14ac:dyDescent="0.45">
      <c r="B34" s="25" t="s">
        <v>25</v>
      </c>
      <c r="C34" s="139" t="s">
        <v>50</v>
      </c>
      <c r="D34" s="139"/>
      <c r="E34" s="139"/>
      <c r="F34" s="47"/>
    </row>
    <row r="35" spans="1:6" ht="16.5" customHeight="1" x14ac:dyDescent="0.45">
      <c r="B35" s="25" t="s">
        <v>51</v>
      </c>
      <c r="C35" s="139" t="s">
        <v>52</v>
      </c>
      <c r="D35" s="139"/>
      <c r="E35" s="139"/>
      <c r="F35" s="47"/>
    </row>
    <row r="36" spans="1:6" ht="16.5" customHeight="1" x14ac:dyDescent="0.45">
      <c r="B36" s="25" t="s">
        <v>53</v>
      </c>
      <c r="C36" s="139" t="s">
        <v>54</v>
      </c>
      <c r="D36" s="139"/>
      <c r="E36" s="139"/>
      <c r="F36" s="47"/>
    </row>
    <row r="37" spans="1:6" s="49" customFormat="1" x14ac:dyDescent="0.45"/>
    <row r="38" spans="1:6" s="49" customFormat="1" x14ac:dyDescent="0.45">
      <c r="A38" s="15"/>
      <c r="B38" s="44" t="s">
        <v>55</v>
      </c>
      <c r="C38" s="15"/>
      <c r="D38" s="15"/>
      <c r="E38" s="50"/>
      <c r="F38" s="50"/>
    </row>
    <row r="39" spans="1:6" s="49" customFormat="1" x14ac:dyDescent="0.45">
      <c r="A39" s="15"/>
      <c r="B39" s="44" t="s">
        <v>56</v>
      </c>
      <c r="C39" s="18"/>
      <c r="D39" s="18"/>
      <c r="E39" s="18"/>
      <c r="F39" s="18"/>
    </row>
    <row r="40" spans="1:6" s="49" customFormat="1" ht="15" customHeight="1" x14ac:dyDescent="0.45">
      <c r="A40" s="15"/>
      <c r="B40" s="25" t="s">
        <v>57</v>
      </c>
      <c r="C40" s="3" t="s">
        <v>58</v>
      </c>
      <c r="D40" s="3"/>
      <c r="E40" s="46" t="s">
        <v>59</v>
      </c>
      <c r="F40" s="46" t="s">
        <v>60</v>
      </c>
    </row>
    <row r="41" spans="1:6" s="49" customFormat="1" x14ac:dyDescent="0.45">
      <c r="A41" s="15"/>
      <c r="B41" s="51" t="s">
        <v>14</v>
      </c>
      <c r="C41" s="11" t="s">
        <v>61</v>
      </c>
      <c r="D41" s="11"/>
      <c r="E41" s="29" t="s">
        <v>62</v>
      </c>
      <c r="F41" s="52">
        <v>7.4</v>
      </c>
    </row>
    <row r="42" spans="1:6" s="49" customFormat="1" x14ac:dyDescent="0.45">
      <c r="B42" s="51" t="s">
        <v>16</v>
      </c>
      <c r="C42" s="9" t="s">
        <v>63</v>
      </c>
      <c r="D42" s="9"/>
      <c r="E42" s="53" t="s">
        <v>62</v>
      </c>
      <c r="F42" s="52">
        <v>27</v>
      </c>
    </row>
    <row r="43" spans="1:6" s="49" customFormat="1" x14ac:dyDescent="0.45">
      <c r="B43" s="51" t="s">
        <v>19</v>
      </c>
      <c r="C43" s="11" t="s">
        <v>64</v>
      </c>
      <c r="D43" s="11"/>
      <c r="E43" s="29" t="s">
        <v>65</v>
      </c>
      <c r="F43" s="54">
        <v>22</v>
      </c>
    </row>
    <row r="44" spans="1:6" ht="16.399999999999999" customHeight="1" x14ac:dyDescent="0.45">
      <c r="B44" s="51" t="s">
        <v>22</v>
      </c>
      <c r="C44" s="139" t="s">
        <v>66</v>
      </c>
      <c r="D44" s="139"/>
      <c r="E44" s="55" t="s">
        <v>65</v>
      </c>
      <c r="F44" s="47">
        <v>20.79</v>
      </c>
    </row>
    <row r="45" spans="1:6" ht="16.399999999999999" customHeight="1" x14ac:dyDescent="0.45">
      <c r="B45" s="51" t="s">
        <v>25</v>
      </c>
      <c r="C45" s="139" t="s">
        <v>67</v>
      </c>
      <c r="D45" s="139"/>
      <c r="E45" s="55" t="s">
        <v>65</v>
      </c>
      <c r="F45" s="47"/>
    </row>
    <row r="46" spans="1:6" ht="16.399999999999999" customHeight="1" x14ac:dyDescent="0.45">
      <c r="B46" s="51" t="s">
        <v>51</v>
      </c>
      <c r="C46" s="139" t="s">
        <v>68</v>
      </c>
      <c r="D46" s="139"/>
      <c r="E46" s="55" t="s">
        <v>65</v>
      </c>
      <c r="F46" s="47"/>
    </row>
    <row r="47" spans="1:6" ht="16.399999999999999" customHeight="1" x14ac:dyDescent="0.45">
      <c r="B47" s="51" t="s">
        <v>53</v>
      </c>
      <c r="C47" s="139" t="s">
        <v>69</v>
      </c>
      <c r="D47" s="139"/>
      <c r="E47" s="55" t="s">
        <v>65</v>
      </c>
      <c r="F47" s="47"/>
    </row>
    <row r="48" spans="1:6" s="49" customFormat="1" x14ac:dyDescent="0.45"/>
    <row r="49" spans="1:6" s="18" customFormat="1" x14ac:dyDescent="0.45">
      <c r="B49" s="44" t="s">
        <v>70</v>
      </c>
      <c r="C49" s="56"/>
      <c r="D49" s="57"/>
      <c r="E49" s="15"/>
      <c r="F49" s="15"/>
    </row>
    <row r="50" spans="1:6" s="18" customFormat="1" ht="15" customHeight="1" x14ac:dyDescent="0.45">
      <c r="B50" s="44" t="s">
        <v>71</v>
      </c>
      <c r="C50" s="56"/>
      <c r="D50" s="57"/>
      <c r="E50" s="58"/>
      <c r="F50" s="58"/>
    </row>
    <row r="51" spans="1:6" ht="16.5" customHeight="1" x14ac:dyDescent="0.45">
      <c r="A51" s="18"/>
      <c r="B51" s="25" t="s">
        <v>72</v>
      </c>
      <c r="C51" s="3" t="s">
        <v>73</v>
      </c>
      <c r="D51" s="3"/>
      <c r="E51" s="3"/>
      <c r="F51" s="46" t="s">
        <v>74</v>
      </c>
    </row>
    <row r="52" spans="1:6" s="49" customFormat="1" ht="16.5" customHeight="1" x14ac:dyDescent="0.45">
      <c r="B52" s="46" t="s">
        <v>14</v>
      </c>
      <c r="C52" s="140" t="s">
        <v>75</v>
      </c>
      <c r="D52" s="140"/>
      <c r="E52" s="140"/>
      <c r="F52" s="52"/>
    </row>
    <row r="53" spans="1:6" x14ac:dyDescent="0.45">
      <c r="B53" s="49"/>
      <c r="C53" s="49"/>
      <c r="D53" s="49"/>
      <c r="E53" s="49"/>
      <c r="F53" s="49"/>
    </row>
    <row r="54" spans="1:6" x14ac:dyDescent="0.45">
      <c r="B54" s="44" t="s">
        <v>76</v>
      </c>
      <c r="C54" s="56"/>
      <c r="D54" s="57"/>
      <c r="E54" s="58"/>
      <c r="F54" s="58"/>
    </row>
    <row r="55" spans="1:6" x14ac:dyDescent="0.45">
      <c r="B55" s="25" t="s">
        <v>77</v>
      </c>
      <c r="C55" s="141" t="s">
        <v>78</v>
      </c>
      <c r="D55" s="141"/>
      <c r="E55" s="141"/>
      <c r="F55" s="46" t="s">
        <v>79</v>
      </c>
    </row>
    <row r="56" spans="1:6" ht="15" customHeight="1" x14ac:dyDescent="0.45">
      <c r="B56" s="25" t="s">
        <v>14</v>
      </c>
      <c r="C56" s="2" t="s">
        <v>80</v>
      </c>
      <c r="D56" s="2"/>
      <c r="E56" s="2"/>
      <c r="F56" s="48"/>
    </row>
    <row r="57" spans="1:6" s="49" customFormat="1" ht="16.5" customHeight="1" x14ac:dyDescent="0.45">
      <c r="B57" s="25" t="s">
        <v>16</v>
      </c>
      <c r="C57" s="5" t="s">
        <v>81</v>
      </c>
      <c r="D57" s="5"/>
      <c r="E57" s="5"/>
      <c r="F57" s="48"/>
    </row>
    <row r="58" spans="1:6" x14ac:dyDescent="0.45">
      <c r="B58" s="49"/>
      <c r="C58" s="49"/>
      <c r="D58" s="49"/>
      <c r="E58" s="49"/>
      <c r="F58" s="49"/>
    </row>
    <row r="59" spans="1:6" ht="15.75" customHeight="1" x14ac:dyDescent="0.45">
      <c r="B59" s="44" t="s">
        <v>82</v>
      </c>
      <c r="C59" s="56"/>
      <c r="D59" s="56"/>
      <c r="E59" s="58"/>
      <c r="F59" s="58"/>
    </row>
    <row r="60" spans="1:6" ht="16.5" customHeight="1" x14ac:dyDescent="0.45">
      <c r="B60" s="59">
        <v>5</v>
      </c>
      <c r="C60" s="142" t="s">
        <v>83</v>
      </c>
      <c r="D60" s="142"/>
      <c r="E60" s="142"/>
      <c r="F60" s="60" t="s">
        <v>84</v>
      </c>
    </row>
    <row r="61" spans="1:6" ht="16.399999999999999" customHeight="1" x14ac:dyDescent="0.45">
      <c r="B61" s="61" t="s">
        <v>14</v>
      </c>
      <c r="C61" s="143" t="s">
        <v>85</v>
      </c>
      <c r="D61" s="143"/>
      <c r="E61" s="143"/>
      <c r="F61" s="62">
        <f>UNIFORME!G12</f>
        <v>121.16500000000002</v>
      </c>
    </row>
    <row r="62" spans="1:6" s="63" customFormat="1" ht="16.5" customHeight="1" x14ac:dyDescent="0.45">
      <c r="A62" s="15"/>
      <c r="B62" s="61" t="s">
        <v>16</v>
      </c>
      <c r="C62" s="144" t="s">
        <v>86</v>
      </c>
      <c r="D62" s="144"/>
      <c r="E62" s="144"/>
      <c r="F62" s="62">
        <f>MATERIAIS!F57</f>
        <v>99.039166666666702</v>
      </c>
    </row>
    <row r="63" spans="1:6" s="63" customFormat="1" ht="16.399999999999999" customHeight="1" x14ac:dyDescent="0.45">
      <c r="A63" s="15"/>
      <c r="B63" s="61" t="s">
        <v>19</v>
      </c>
      <c r="C63" s="143" t="s">
        <v>214</v>
      </c>
      <c r="D63" s="143"/>
      <c r="E63" s="143"/>
      <c r="F63" s="62">
        <f>EQUIPAMENTOS_FERRAMENTAS!I62+EQUIPAMENTOS_FERRAMENTAS!I129</f>
        <v>153.43386666666666</v>
      </c>
    </row>
    <row r="64" spans="1:6" s="49" customFormat="1" ht="16.5" customHeight="1" x14ac:dyDescent="0.45">
      <c r="B64" s="61" t="s">
        <v>22</v>
      </c>
      <c r="C64" s="139" t="s">
        <v>213</v>
      </c>
      <c r="D64" s="139"/>
      <c r="E64" s="139"/>
      <c r="F64" s="47">
        <f>EPI!G37</f>
        <v>282.86527777777775</v>
      </c>
    </row>
    <row r="65" spans="1:6" s="64" customFormat="1" ht="16.5" customHeight="1" x14ac:dyDescent="0.45">
      <c r="A65" s="15"/>
      <c r="B65" s="49"/>
      <c r="C65" s="49"/>
      <c r="D65" s="49"/>
      <c r="E65" s="49"/>
      <c r="F65" s="49"/>
    </row>
    <row r="66" spans="1:6" s="65" customFormat="1" ht="16.5" customHeight="1" x14ac:dyDescent="0.45">
      <c r="A66" s="15"/>
      <c r="B66" s="145" t="s">
        <v>87</v>
      </c>
      <c r="C66" s="145"/>
      <c r="D66" s="145"/>
      <c r="E66" s="145"/>
      <c r="F66" s="145"/>
    </row>
    <row r="67" spans="1:6" s="65" customFormat="1" x14ac:dyDescent="0.45">
      <c r="A67" s="63"/>
      <c r="B67" s="25">
        <v>6</v>
      </c>
      <c r="C67" s="141" t="s">
        <v>88</v>
      </c>
      <c r="D67" s="141"/>
      <c r="E67" s="141"/>
      <c r="F67" s="46" t="s">
        <v>74</v>
      </c>
    </row>
    <row r="68" spans="1:6" s="65" customFormat="1" ht="16.399999999999999" customHeight="1" x14ac:dyDescent="0.45">
      <c r="A68" s="63"/>
      <c r="B68" s="25" t="s">
        <v>14</v>
      </c>
      <c r="C68" s="146" t="s">
        <v>89</v>
      </c>
      <c r="D68" s="146"/>
      <c r="E68" s="146"/>
      <c r="F68" s="66">
        <v>4.7300000000000004</v>
      </c>
    </row>
    <row r="69" spans="1:6" s="65" customFormat="1" ht="16.399999999999999" customHeight="1" x14ac:dyDescent="0.45">
      <c r="A69" s="64"/>
      <c r="B69" s="46" t="s">
        <v>16</v>
      </c>
      <c r="C69" s="5" t="s">
        <v>90</v>
      </c>
      <c r="D69" s="5"/>
      <c r="E69" s="5"/>
      <c r="F69" s="66">
        <v>5.57</v>
      </c>
    </row>
    <row r="70" spans="1:6" ht="16.399999999999999" customHeight="1" x14ac:dyDescent="0.45">
      <c r="B70" s="67" t="s">
        <v>91</v>
      </c>
      <c r="C70" s="146" t="s">
        <v>92</v>
      </c>
      <c r="D70" s="146"/>
      <c r="E70" s="146">
        <f>PERC_PIS</f>
        <v>0.65</v>
      </c>
      <c r="F70" s="66">
        <v>0.65</v>
      </c>
    </row>
    <row r="71" spans="1:6" ht="16.399999999999999" customHeight="1" x14ac:dyDescent="0.45">
      <c r="B71" s="67" t="s">
        <v>93</v>
      </c>
      <c r="C71" s="5" t="s">
        <v>94</v>
      </c>
      <c r="D71" s="5"/>
      <c r="E71" s="5">
        <f>PERC_COFINS</f>
        <v>3</v>
      </c>
      <c r="F71" s="66">
        <v>3</v>
      </c>
    </row>
    <row r="72" spans="1:6" s="49" customFormat="1" ht="16.399999999999999" customHeight="1" x14ac:dyDescent="0.45">
      <c r="B72" s="67" t="s">
        <v>95</v>
      </c>
      <c r="C72" s="146" t="s">
        <v>96</v>
      </c>
      <c r="D72" s="146"/>
      <c r="E72" s="146">
        <f>PERC_ISS</f>
        <v>5</v>
      </c>
      <c r="F72" s="66">
        <v>5</v>
      </c>
    </row>
    <row r="73" spans="1:6" x14ac:dyDescent="0.45">
      <c r="B73" s="49"/>
      <c r="C73" s="49"/>
      <c r="D73" s="49"/>
      <c r="E73" s="49"/>
      <c r="F73" s="49"/>
    </row>
    <row r="74" spans="1:6" ht="33.75" customHeight="1" x14ac:dyDescent="0.45">
      <c r="B74" s="68" t="s">
        <v>97</v>
      </c>
      <c r="C74" s="69"/>
      <c r="D74" s="69"/>
      <c r="E74" s="69"/>
      <c r="F74" s="70"/>
    </row>
    <row r="75" spans="1:6" ht="32.25" customHeight="1" x14ac:dyDescent="0.45">
      <c r="B75" s="147" t="s">
        <v>98</v>
      </c>
      <c r="C75" s="147"/>
      <c r="D75" s="147"/>
      <c r="E75" s="147"/>
      <c r="F75" s="147"/>
    </row>
  </sheetData>
  <mergeCells count="56">
    <mergeCell ref="C69:E69"/>
    <mergeCell ref="C70:E70"/>
    <mergeCell ref="C71:E71"/>
    <mergeCell ref="C72:E72"/>
    <mergeCell ref="B75:F75"/>
    <mergeCell ref="C63:E63"/>
    <mergeCell ref="C64:E64"/>
    <mergeCell ref="B66:F66"/>
    <mergeCell ref="C67:E67"/>
    <mergeCell ref="C68:E68"/>
    <mergeCell ref="C56:E56"/>
    <mergeCell ref="C57:E57"/>
    <mergeCell ref="C60:E60"/>
    <mergeCell ref="C61:E61"/>
    <mergeCell ref="C62:E62"/>
    <mergeCell ref="C46:D46"/>
    <mergeCell ref="C47:D47"/>
    <mergeCell ref="C51:E51"/>
    <mergeCell ref="C52:E52"/>
    <mergeCell ref="C55:E55"/>
    <mergeCell ref="C41:D41"/>
    <mergeCell ref="C42:D42"/>
    <mergeCell ref="C43:D43"/>
    <mergeCell ref="C44:D44"/>
    <mergeCell ref="C45:D45"/>
    <mergeCell ref="C33:E33"/>
    <mergeCell ref="C34:E34"/>
    <mergeCell ref="C35:E35"/>
    <mergeCell ref="C36:E36"/>
    <mergeCell ref="C40:D40"/>
    <mergeCell ref="C25:E25"/>
    <mergeCell ref="C29:E29"/>
    <mergeCell ref="C30:E30"/>
    <mergeCell ref="C31:E31"/>
    <mergeCell ref="C32:E32"/>
    <mergeCell ref="B17:F17"/>
    <mergeCell ref="B21:F21"/>
    <mergeCell ref="D22:F22"/>
    <mergeCell ref="D23:F23"/>
    <mergeCell ref="C24:E24"/>
    <mergeCell ref="C11:E11"/>
    <mergeCell ref="D12:F12"/>
    <mergeCell ref="C13:E13"/>
    <mergeCell ref="C14:E14"/>
    <mergeCell ref="C15:E15"/>
    <mergeCell ref="B7:C7"/>
    <mergeCell ref="D7:E7"/>
    <mergeCell ref="B8:C8"/>
    <mergeCell ref="D8:E8"/>
    <mergeCell ref="B10:F10"/>
    <mergeCell ref="B1:F1"/>
    <mergeCell ref="B2:D2"/>
    <mergeCell ref="B4:F4"/>
    <mergeCell ref="B5:F5"/>
    <mergeCell ref="B6:C6"/>
    <mergeCell ref="D6:F6"/>
  </mergeCells>
  <dataValidations count="11">
    <dataValidation type="whole" allowBlank="1" showInputMessage="1" showErrorMessage="1" errorTitle="Erro na inserção de dados." error="O percentual de ISS deve estar entre 2 e 5%, conforme o inciso I do artigo 8º e o caput do art. 8º-A da Lei Complementar nº 116/2003." sqref="F72" xr:uid="{00000000-0002-0000-0000-000000000000}">
      <formula1>2</formula1>
      <formula2>5</formula2>
    </dataValidation>
    <dataValidation type="whole" operator="equal" allowBlank="1" showInputMessage="1" showErrorMessage="1" errorTitle="Atentar para o percentual." error="Tem certeza que o percentual do Cofins é diferente de 3%, previsto no art. 31 da Lei nº 10.833/2003?" sqref="F71" xr:uid="{00000000-0002-0000-0000-000001000000}">
      <formula1>3</formula1>
      <formula2>0</formula2>
    </dataValidation>
    <dataValidation type="decimal" operator="equal" allowBlank="1" showInputMessage="1" showErrorMessage="1" errorTitle="Atentar para o percentual." error="Tem certeza que o percentual do PIS é diferente de 0,65%, previsto no art. 31 da Lei nº 10.833/2003?" sqref="F70" xr:uid="{00000000-0002-0000-0000-000002000000}">
      <formula1>0.65</formula1>
      <formula2>0</formula2>
    </dataValidation>
    <dataValidation type="decimal" allowBlank="1" showInputMessage="1" showErrorMessage="1" errorTitle="Erro na inserção de dados." error="O percentual recomendado de lucro é de 5,57%, conforme estudos realizados pela Auditoria Interna do MPU." sqref="F69" xr:uid="{00000000-0002-0000-0000-000003000000}">
      <formula1>0</formula1>
      <formula2>5.57</formula2>
    </dataValidation>
    <dataValidation type="decimal" allowBlank="1" showInputMessage="1" showErrorMessage="1" errorTitle="Erro na inserção de dados." error="O percentual recomendado de custos indiretos é de 4,73%, conforme estudos realizados pela Auditoria Interna do MPU." sqref="F68" xr:uid="{00000000-0002-0000-0000-000004000000}">
      <formula1>0</formula1>
      <formula2>4.73</formula2>
    </dataValidation>
    <dataValidation type="decimal" operator="greaterThanOrEqual" allowBlank="1" showInputMessage="1" showErrorMessage="1" errorTitle="Atentar para o valor do salário." error="Tem certeza que o valor do salário-base é menor do que o salário mínimo vigente no país?" sqref="F30" xr:uid="{00000000-0002-0000-0000-000005000000}">
      <formula1>F25</formula1>
      <formula2>0</formula2>
    </dataValidation>
    <dataValidation type="list" operator="equal" allowBlank="1" showInputMessage="1" showErrorMessage="1" errorTitle="Erro na inserção de dados." error="De acordo com o art. 192 da CLT, estão previstos somente os percentuais de 40% (máximo), 20% (médio) ou 10% (mínimo), conforme for a exposição ao risco." sqref="F33" xr:uid="{00000000-0002-0000-0000-000006000000}">
      <formula1>"0,10,20,40"</formula1>
      <formula2>0</formula2>
    </dataValidation>
    <dataValidation type="list" allowBlank="1" showInputMessage="1" showErrorMessage="1" errorTitle="Erro na inserção de dados." error="Somente estão previstos 15 dias (intercalados), no caso de postos 12x36 horas, ou 22 dias (úteis), no caso de postos 44 horas." sqref="F43" xr:uid="{00000000-0002-0000-0000-000007000000}">
      <formula1>"15,22"</formula1>
      <formula2>0</formula2>
    </dataValidation>
    <dataValidation type="whole" operator="equal" allowBlank="1" showInputMessage="1" showErrorMessage="1" errorTitle="Atenção para a inclusão do item." error="Tem certeza que deseja incluir este item de custo e que o tempo de intervalo está de acordo com o previsto na CCT da categoria?" promptTitle="Intervalo Intrajornada" prompt="Segundo estudos da Audin-MPU, esse item não é usual nas planilhas do MPU. Verifique se realmente há necessidade de incluí-lo." sqref="F57" xr:uid="{00000000-0002-0000-0000-000008000000}">
      <formula1>0</formula1>
      <formula2>0</formula2>
    </dataValidation>
    <dataValidation type="whole" operator="equal" allowBlank="1" showInputMessage="1" showErrorMessage="1" errorTitle="Atenção para a inclusão do item." error="Tem certeza que deseja incluir este item de custo e que o percentual está de acordo com o previsto na CCT da categoria?" promptTitle="Intervalo Intrajornada" prompt="Segundo estudos da Audin-MPU, esse item não é usual nas planilhas do MPU. Verifique se realmente há necessidade de incluí-lo." sqref="F56" xr:uid="{00000000-0002-0000-0000-000009000000}">
      <formula1>0</formula1>
      <formula2>0</formula2>
    </dataValidation>
    <dataValidation type="list" allowBlank="1" showInputMessage="1" showErrorMessage="1" sqref="F13" xr:uid="{00000000-0002-0000-0000-00000A000000}">
      <formula1>"AC,AL,AP,AM,BA,CE,DF,ES,GO,MA,MG,MS,MT,PA,PB,PR,PE,PI,RJ,RN,RO,RR,RS,SC,SP,SE,TO"</formula1>
      <formula2>0</formula2>
    </dataValidation>
  </dataValidations>
  <pageMargins left="0.17013888888888901" right="0.17013888888888901" top="0.45972222222222198" bottom="0.32986111111111099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A42"/>
  <sheetViews>
    <sheetView topLeftCell="B34" zoomScaleNormal="100" workbookViewId="0">
      <selection activeCell="B23" sqref="B23"/>
    </sheetView>
  </sheetViews>
  <sheetFormatPr defaultRowHeight="16.5" x14ac:dyDescent="0.45"/>
  <cols>
    <col min="1" max="1" width="2.7265625" style="15" customWidth="1"/>
    <col min="2" max="2" width="8.81640625" style="15" customWidth="1"/>
    <col min="3" max="3" width="52.54296875" style="15" customWidth="1"/>
    <col min="4" max="4" width="9.54296875" style="15" customWidth="1"/>
    <col min="5" max="5" width="13.54296875" style="15" customWidth="1"/>
    <col min="6" max="6" width="15.453125" style="15" customWidth="1"/>
    <col min="7" max="1015" width="9.08984375" style="15" customWidth="1"/>
    <col min="1016" max="1025" width="8.6328125" customWidth="1"/>
  </cols>
  <sheetData>
    <row r="1" spans="1:6" s="18" customFormat="1" ht="25" x14ac:dyDescent="0.7">
      <c r="B1" s="43" t="s">
        <v>99</v>
      </c>
      <c r="C1" s="15"/>
      <c r="D1" s="15"/>
      <c r="E1" s="15"/>
      <c r="F1" s="15"/>
    </row>
    <row r="2" spans="1:6" x14ac:dyDescent="0.45">
      <c r="B2" s="44" t="s">
        <v>43</v>
      </c>
      <c r="E2" s="45"/>
      <c r="F2" s="45"/>
    </row>
    <row r="3" spans="1:6" ht="31.25" customHeight="1" x14ac:dyDescent="0.45">
      <c r="B3" s="25">
        <v>1</v>
      </c>
      <c r="C3" s="3" t="s">
        <v>44</v>
      </c>
      <c r="D3" s="3"/>
      <c r="E3" s="3"/>
      <c r="F3" s="46" t="s">
        <v>100</v>
      </c>
    </row>
    <row r="4" spans="1:6" ht="16.399999999999999" customHeight="1" x14ac:dyDescent="0.45">
      <c r="B4" s="25" t="s">
        <v>25</v>
      </c>
      <c r="C4" s="146" t="s">
        <v>101</v>
      </c>
      <c r="D4" s="146"/>
      <c r="E4" s="146"/>
      <c r="F4" s="71">
        <v>220</v>
      </c>
    </row>
    <row r="5" spans="1:6" ht="16.399999999999999" customHeight="1" x14ac:dyDescent="0.45">
      <c r="B5" s="25" t="s">
        <v>51</v>
      </c>
      <c r="C5" s="1" t="s">
        <v>102</v>
      </c>
      <c r="D5" s="1"/>
      <c r="E5" s="1"/>
      <c r="F5" s="72">
        <v>7</v>
      </c>
    </row>
    <row r="6" spans="1:6" ht="16.399999999999999" customHeight="1" x14ac:dyDescent="0.45">
      <c r="B6" s="25" t="s">
        <v>53</v>
      </c>
      <c r="C6" s="146" t="s">
        <v>103</v>
      </c>
      <c r="D6" s="146"/>
      <c r="E6" s="146"/>
      <c r="F6" s="71">
        <v>365</v>
      </c>
    </row>
    <row r="7" spans="1:6" ht="16.399999999999999" customHeight="1" x14ac:dyDescent="0.45">
      <c r="B7" s="25" t="s">
        <v>104</v>
      </c>
      <c r="C7" s="1" t="s">
        <v>105</v>
      </c>
      <c r="D7" s="1"/>
      <c r="E7" s="1"/>
      <c r="F7" s="73">
        <v>22</v>
      </c>
    </row>
    <row r="8" spans="1:6" ht="16.399999999999999" customHeight="1" x14ac:dyDescent="0.45">
      <c r="B8" s="25" t="s">
        <v>106</v>
      </c>
      <c r="C8" s="146" t="s">
        <v>107</v>
      </c>
      <c r="D8" s="146"/>
      <c r="E8" s="146"/>
      <c r="F8" s="71">
        <v>12</v>
      </c>
    </row>
    <row r="9" spans="1:6" ht="16.399999999999999" customHeight="1" x14ac:dyDescent="0.45">
      <c r="B9" s="25" t="s">
        <v>108</v>
      </c>
      <c r="C9" s="1" t="s">
        <v>109</v>
      </c>
      <c r="D9" s="1"/>
      <c r="E9" s="1"/>
      <c r="F9" s="72">
        <v>60</v>
      </c>
    </row>
    <row r="10" spans="1:6" s="15" customFormat="1" ht="16.399999999999999" customHeight="1" x14ac:dyDescent="0.45">
      <c r="B10" s="25" t="s">
        <v>110</v>
      </c>
      <c r="C10" s="146" t="s">
        <v>111</v>
      </c>
      <c r="D10" s="146"/>
      <c r="E10" s="146"/>
      <c r="F10" s="74">
        <v>52.5</v>
      </c>
    </row>
    <row r="11" spans="1:6" s="49" customFormat="1" x14ac:dyDescent="0.45"/>
    <row r="12" spans="1:6" s="49" customFormat="1" x14ac:dyDescent="0.45">
      <c r="A12" s="15"/>
      <c r="B12" s="44" t="s">
        <v>56</v>
      </c>
      <c r="C12" s="18"/>
      <c r="D12" s="18"/>
      <c r="E12" s="18"/>
      <c r="F12" s="18"/>
    </row>
    <row r="13" spans="1:6" s="49" customFormat="1" ht="16.399999999999999" customHeight="1" x14ac:dyDescent="0.45">
      <c r="A13" s="15"/>
      <c r="B13" s="25" t="s">
        <v>57</v>
      </c>
      <c r="C13" s="3" t="s">
        <v>58</v>
      </c>
      <c r="D13" s="3"/>
      <c r="E13" s="46" t="s">
        <v>59</v>
      </c>
      <c r="F13" s="46" t="s">
        <v>74</v>
      </c>
    </row>
    <row r="14" spans="1:6" s="49" customFormat="1" x14ac:dyDescent="0.45">
      <c r="B14" s="51" t="s">
        <v>19</v>
      </c>
      <c r="C14" s="9" t="s">
        <v>112</v>
      </c>
      <c r="D14" s="9"/>
      <c r="E14" s="53" t="s">
        <v>65</v>
      </c>
      <c r="F14" s="75">
        <v>6</v>
      </c>
    </row>
    <row r="15" spans="1:6" s="49" customFormat="1" x14ac:dyDescent="0.45"/>
    <row r="16" spans="1:6" s="18" customFormat="1" x14ac:dyDescent="0.45">
      <c r="A16" s="49"/>
      <c r="B16" s="44" t="s">
        <v>113</v>
      </c>
      <c r="C16" s="56"/>
      <c r="D16" s="57"/>
      <c r="E16" s="58"/>
      <c r="F16" s="58"/>
    </row>
    <row r="17" spans="1:6" s="18" customFormat="1" x14ac:dyDescent="0.45">
      <c r="A17" s="49"/>
      <c r="B17" s="25">
        <v>3</v>
      </c>
      <c r="C17" s="141" t="s">
        <v>114</v>
      </c>
      <c r="D17" s="141"/>
      <c r="E17" s="141"/>
      <c r="F17" s="46" t="s">
        <v>115</v>
      </c>
    </row>
    <row r="18" spans="1:6" s="18" customFormat="1" ht="16.399999999999999" customHeight="1" x14ac:dyDescent="0.45">
      <c r="A18" s="49"/>
      <c r="B18" s="25" t="s">
        <v>14</v>
      </c>
      <c r="C18" s="146" t="s">
        <v>116</v>
      </c>
      <c r="D18" s="146"/>
      <c r="E18" s="146"/>
      <c r="F18" s="76">
        <v>56.24</v>
      </c>
    </row>
    <row r="19" spans="1:6" x14ac:dyDescent="0.45">
      <c r="A19" s="49"/>
      <c r="B19" s="46" t="s">
        <v>16</v>
      </c>
      <c r="C19" s="148" t="s">
        <v>117</v>
      </c>
      <c r="D19" s="148"/>
      <c r="E19" s="148"/>
      <c r="F19" s="77">
        <v>5.55</v>
      </c>
    </row>
    <row r="20" spans="1:6" s="18" customFormat="1" ht="16.399999999999999" customHeight="1" x14ac:dyDescent="0.3">
      <c r="B20" s="46" t="s">
        <v>19</v>
      </c>
      <c r="C20" s="146" t="s">
        <v>118</v>
      </c>
      <c r="D20" s="146"/>
      <c r="E20" s="146"/>
      <c r="F20" s="78">
        <v>40</v>
      </c>
    </row>
    <row r="21" spans="1:6" ht="16.399999999999999" customHeight="1" x14ac:dyDescent="0.45">
      <c r="A21" s="49"/>
      <c r="B21" s="46" t="s">
        <v>22</v>
      </c>
      <c r="C21" s="146" t="s">
        <v>119</v>
      </c>
      <c r="D21" s="146"/>
      <c r="E21" s="146"/>
      <c r="F21" s="76">
        <v>94.45</v>
      </c>
    </row>
    <row r="22" spans="1:6" x14ac:dyDescent="0.45">
      <c r="A22" s="49"/>
      <c r="B22" s="46" t="s">
        <v>25</v>
      </c>
      <c r="C22" s="148" t="s">
        <v>120</v>
      </c>
      <c r="D22" s="148"/>
      <c r="E22" s="148"/>
      <c r="F22" s="75">
        <v>30</v>
      </c>
    </row>
    <row r="23" spans="1:6" s="49" customFormat="1" x14ac:dyDescent="0.45"/>
    <row r="24" spans="1:6" s="18" customFormat="1" x14ac:dyDescent="0.45">
      <c r="B24" s="44" t="s">
        <v>70</v>
      </c>
      <c r="C24" s="56"/>
      <c r="D24" s="57"/>
      <c r="E24" s="15"/>
      <c r="F24" s="15"/>
    </row>
    <row r="25" spans="1:6" s="18" customFormat="1" x14ac:dyDescent="0.45">
      <c r="B25" s="44" t="s">
        <v>71</v>
      </c>
      <c r="C25" s="56"/>
      <c r="D25" s="57"/>
      <c r="E25" s="58"/>
      <c r="F25" s="58"/>
    </row>
    <row r="26" spans="1:6" s="18" customFormat="1" ht="16.399999999999999" customHeight="1" x14ac:dyDescent="0.3">
      <c r="B26" s="25" t="s">
        <v>72</v>
      </c>
      <c r="C26" s="3" t="s">
        <v>73</v>
      </c>
      <c r="D26" s="3"/>
      <c r="E26" s="3"/>
      <c r="F26" s="46" t="s">
        <v>115</v>
      </c>
    </row>
    <row r="27" spans="1:6" s="18" customFormat="1" ht="16.399999999999999" customHeight="1" x14ac:dyDescent="0.3">
      <c r="B27" s="25" t="s">
        <v>14</v>
      </c>
      <c r="C27" s="146" t="s">
        <v>121</v>
      </c>
      <c r="D27" s="146"/>
      <c r="E27" s="146"/>
      <c r="F27" s="78">
        <v>8</v>
      </c>
    </row>
    <row r="28" spans="1:6" ht="16.399999999999999" customHeight="1" x14ac:dyDescent="0.45">
      <c r="A28" s="18"/>
      <c r="B28" s="46" t="s">
        <v>16</v>
      </c>
      <c r="C28" s="5" t="s">
        <v>122</v>
      </c>
      <c r="D28" s="5"/>
      <c r="E28" s="5"/>
      <c r="F28" s="75">
        <v>20</v>
      </c>
    </row>
    <row r="29" spans="1:6" ht="16.399999999999999" customHeight="1" x14ac:dyDescent="0.45">
      <c r="A29" s="18"/>
      <c r="B29" s="46" t="s">
        <v>19</v>
      </c>
      <c r="C29" s="146" t="s">
        <v>123</v>
      </c>
      <c r="D29" s="146"/>
      <c r="E29" s="146"/>
      <c r="F29" s="76">
        <v>1.42</v>
      </c>
    </row>
    <row r="30" spans="1:6" ht="16.399999999999999" customHeight="1" x14ac:dyDescent="0.45">
      <c r="A30" s="18"/>
      <c r="B30" s="46" t="s">
        <v>22</v>
      </c>
      <c r="C30" s="5" t="s">
        <v>124</v>
      </c>
      <c r="D30" s="5"/>
      <c r="E30" s="5"/>
      <c r="F30" s="77">
        <v>45.22</v>
      </c>
    </row>
    <row r="31" spans="1:6" s="18" customFormat="1" ht="16.399999999999999" customHeight="1" x14ac:dyDescent="0.45">
      <c r="A31" s="15"/>
      <c r="B31" s="46" t="s">
        <v>25</v>
      </c>
      <c r="C31" s="146" t="s">
        <v>125</v>
      </c>
      <c r="D31" s="146"/>
      <c r="E31" s="146"/>
      <c r="F31" s="76">
        <f>(154800/34808000)*100</f>
        <v>0.44472535049413925</v>
      </c>
    </row>
    <row r="32" spans="1:6" ht="16.399999999999999" customHeight="1" x14ac:dyDescent="0.45">
      <c r="A32" s="18"/>
      <c r="B32" s="46" t="s">
        <v>51</v>
      </c>
      <c r="C32" s="5" t="s">
        <v>126</v>
      </c>
      <c r="D32" s="5"/>
      <c r="E32" s="5"/>
      <c r="F32" s="75">
        <v>15</v>
      </c>
    </row>
    <row r="33" spans="1:6" ht="16.399999999999999" customHeight="1" x14ac:dyDescent="0.45">
      <c r="A33" s="18"/>
      <c r="B33" s="46" t="s">
        <v>53</v>
      </c>
      <c r="C33" s="146" t="s">
        <v>127</v>
      </c>
      <c r="D33" s="146"/>
      <c r="E33" s="146"/>
      <c r="F33" s="78">
        <v>180</v>
      </c>
    </row>
    <row r="34" spans="1:6" ht="16.399999999999999" customHeight="1" x14ac:dyDescent="0.45">
      <c r="A34" s="18"/>
      <c r="B34" s="46" t="s">
        <v>128</v>
      </c>
      <c r="C34" s="5" t="s">
        <v>129</v>
      </c>
      <c r="D34" s="5"/>
      <c r="E34" s="5"/>
      <c r="F34" s="77">
        <v>54.78</v>
      </c>
    </row>
    <row r="35" spans="1:6" s="49" customFormat="1" x14ac:dyDescent="0.45"/>
    <row r="36" spans="1:6" x14ac:dyDescent="0.45">
      <c r="B36" s="44" t="s">
        <v>130</v>
      </c>
      <c r="C36" s="56"/>
      <c r="D36" s="57"/>
      <c r="E36" s="58"/>
      <c r="F36" s="58"/>
    </row>
    <row r="37" spans="1:6" x14ac:dyDescent="0.45">
      <c r="B37" s="25" t="s">
        <v>77</v>
      </c>
      <c r="C37" s="141" t="s">
        <v>131</v>
      </c>
      <c r="D37" s="141"/>
      <c r="E37" s="141"/>
      <c r="F37" s="46" t="s">
        <v>132</v>
      </c>
    </row>
    <row r="38" spans="1:6" ht="16.399999999999999" customHeight="1" x14ac:dyDescent="0.45">
      <c r="B38" s="25" t="s">
        <v>14</v>
      </c>
      <c r="C38" s="2" t="s">
        <v>80</v>
      </c>
      <c r="D38" s="2"/>
      <c r="E38" s="2"/>
      <c r="F38" s="71">
        <f>PERC_HORA_EXTRA</f>
        <v>0</v>
      </c>
    </row>
    <row r="39" spans="1:6" ht="16.399999999999999" customHeight="1" x14ac:dyDescent="0.45">
      <c r="B39" s="25" t="s">
        <v>16</v>
      </c>
      <c r="C39" s="5" t="s">
        <v>81</v>
      </c>
      <c r="D39" s="5"/>
      <c r="E39" s="5"/>
      <c r="F39" s="72">
        <f>TEMPO_INTERVALO_REFEICAO</f>
        <v>0</v>
      </c>
    </row>
    <row r="40" spans="1:6" s="49" customFormat="1" x14ac:dyDescent="0.45"/>
    <row r="41" spans="1:6" ht="21" x14ac:dyDescent="0.45">
      <c r="B41" s="68" t="s">
        <v>97</v>
      </c>
      <c r="C41" s="69"/>
      <c r="D41" s="69"/>
      <c r="E41" s="69"/>
      <c r="F41" s="70"/>
    </row>
    <row r="42" spans="1:6" ht="31.25" customHeight="1" x14ac:dyDescent="0.45">
      <c r="B42" s="147" t="s">
        <v>98</v>
      </c>
      <c r="C42" s="147"/>
      <c r="D42" s="147"/>
      <c r="E42" s="147"/>
      <c r="F42" s="147"/>
    </row>
  </sheetData>
  <mergeCells count="29">
    <mergeCell ref="C37:E37"/>
    <mergeCell ref="C38:E38"/>
    <mergeCell ref="C39:E39"/>
    <mergeCell ref="B42:F42"/>
    <mergeCell ref="C30:E30"/>
    <mergeCell ref="C31:E31"/>
    <mergeCell ref="C32:E32"/>
    <mergeCell ref="C33:E33"/>
    <mergeCell ref="C34:E34"/>
    <mergeCell ref="C22:E22"/>
    <mergeCell ref="C26:E26"/>
    <mergeCell ref="C27:E27"/>
    <mergeCell ref="C28:E28"/>
    <mergeCell ref="C29:E29"/>
    <mergeCell ref="C17:E17"/>
    <mergeCell ref="C18:E18"/>
    <mergeCell ref="C19:E19"/>
    <mergeCell ref="C20:E20"/>
    <mergeCell ref="C21:E21"/>
    <mergeCell ref="C8:E8"/>
    <mergeCell ref="C9:E9"/>
    <mergeCell ref="C10:E10"/>
    <mergeCell ref="C13:D13"/>
    <mergeCell ref="C14:D14"/>
    <mergeCell ref="C3:E3"/>
    <mergeCell ref="C4:E4"/>
    <mergeCell ref="C5:E5"/>
    <mergeCell ref="C6:E6"/>
    <mergeCell ref="C7:E7"/>
  </mergeCells>
  <dataValidations count="1">
    <dataValidation allowBlank="1" showInputMessage="1" showErrorMessage="1" promptTitle="Intervalo Intrajornada" prompt="Segundo estudos da Audin-MPU, esse item não é usual nas planilhas do MPU. Verifique se realmente há necessidade de incluí-lo." sqref="F38:F39" xr:uid="{00000000-0002-0000-0100-000000000000}">
      <formula1>0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37"/>
  <sheetViews>
    <sheetView topLeftCell="A28" zoomScaleNormal="100" workbookViewId="0">
      <selection activeCell="F23" sqref="F23"/>
    </sheetView>
  </sheetViews>
  <sheetFormatPr defaultRowHeight="16.5" x14ac:dyDescent="0.45"/>
  <cols>
    <col min="1" max="1" width="2.7265625" style="15" customWidth="1"/>
    <col min="2" max="2" width="8.81640625" style="15" customWidth="1"/>
    <col min="3" max="3" width="52.54296875" style="15" customWidth="1"/>
    <col min="4" max="4" width="22" style="15" customWidth="1"/>
    <col min="5" max="5" width="13.54296875" style="15" customWidth="1"/>
    <col min="6" max="6" width="43.81640625" style="15" customWidth="1"/>
    <col min="7" max="7" width="51.7265625" style="15" customWidth="1"/>
    <col min="8" max="1025" width="9.08984375" style="15" customWidth="1"/>
  </cols>
  <sheetData>
    <row r="1" spans="2:7" s="18" customFormat="1" ht="25" x14ac:dyDescent="0.7">
      <c r="B1" s="43" t="s">
        <v>133</v>
      </c>
      <c r="C1" s="15"/>
      <c r="D1" s="15"/>
      <c r="E1" s="15"/>
      <c r="F1" s="15"/>
      <c r="G1" s="15"/>
    </row>
    <row r="2" spans="2:7" x14ac:dyDescent="0.45">
      <c r="B2" s="44" t="s">
        <v>55</v>
      </c>
      <c r="E2" s="50"/>
    </row>
    <row r="3" spans="2:7" x14ac:dyDescent="0.45">
      <c r="B3" s="44" t="s">
        <v>134</v>
      </c>
      <c r="C3" s="56"/>
      <c r="D3" s="57"/>
      <c r="E3" s="58"/>
    </row>
    <row r="4" spans="2:7" x14ac:dyDescent="0.45">
      <c r="B4" s="25" t="s">
        <v>135</v>
      </c>
      <c r="C4" s="141" t="s">
        <v>136</v>
      </c>
      <c r="D4" s="141"/>
      <c r="E4" s="46" t="s">
        <v>74</v>
      </c>
      <c r="F4" s="46" t="s">
        <v>137</v>
      </c>
    </row>
    <row r="5" spans="2:7" ht="16.5" customHeight="1" x14ac:dyDescent="0.45">
      <c r="B5" s="25" t="s">
        <v>14</v>
      </c>
      <c r="C5" s="146" t="s">
        <v>138</v>
      </c>
      <c r="D5" s="146"/>
      <c r="E5" s="79">
        <f>(1/MESES_NO_ANO)*100</f>
        <v>8.3333333333333321</v>
      </c>
      <c r="F5" s="79" t="s">
        <v>139</v>
      </c>
    </row>
    <row r="6" spans="2:7" ht="16.5" customHeight="1" x14ac:dyDescent="0.45">
      <c r="B6" s="46" t="s">
        <v>16</v>
      </c>
      <c r="C6" s="5" t="s">
        <v>140</v>
      </c>
      <c r="D6" s="5"/>
      <c r="E6" s="80">
        <f>(1/3)/MESES_NO_ANO*100</f>
        <v>2.7777777777777777</v>
      </c>
      <c r="F6" s="80" t="s">
        <v>141</v>
      </c>
    </row>
    <row r="7" spans="2:7" s="49" customFormat="1" ht="16.5" customHeight="1" x14ac:dyDescent="0.45">
      <c r="B7" s="149" t="s">
        <v>142</v>
      </c>
      <c r="C7" s="149"/>
      <c r="D7" s="149"/>
      <c r="E7" s="149"/>
      <c r="F7" s="149"/>
    </row>
    <row r="8" spans="2:7" s="49" customFormat="1" ht="34.5" customHeight="1" x14ac:dyDescent="0.45">
      <c r="B8" s="25" t="s">
        <v>143</v>
      </c>
      <c r="C8" s="150" t="s">
        <v>144</v>
      </c>
      <c r="D8" s="150"/>
      <c r="E8" s="46" t="s">
        <v>74</v>
      </c>
    </row>
    <row r="9" spans="2:7" ht="16.5" customHeight="1" x14ac:dyDescent="0.45">
      <c r="B9" s="25" t="s">
        <v>14</v>
      </c>
      <c r="C9" s="146" t="s">
        <v>145</v>
      </c>
      <c r="D9" s="146"/>
      <c r="E9" s="79">
        <v>20</v>
      </c>
    </row>
    <row r="10" spans="2:7" s="18" customFormat="1" ht="16.5" customHeight="1" x14ac:dyDescent="0.3">
      <c r="B10" s="46" t="s">
        <v>16</v>
      </c>
      <c r="C10" s="5" t="s">
        <v>146</v>
      </c>
      <c r="D10" s="5"/>
      <c r="E10" s="81">
        <v>2.5</v>
      </c>
    </row>
    <row r="11" spans="2:7" s="18" customFormat="1" ht="16.5" customHeight="1" x14ac:dyDescent="0.3">
      <c r="B11" s="46" t="s">
        <v>19</v>
      </c>
      <c r="C11" s="146" t="s">
        <v>147</v>
      </c>
      <c r="D11" s="146"/>
      <c r="E11" s="79">
        <v>3</v>
      </c>
    </row>
    <row r="12" spans="2:7" s="18" customFormat="1" ht="16.5" customHeight="1" x14ac:dyDescent="0.3">
      <c r="B12" s="46" t="s">
        <v>22</v>
      </c>
      <c r="C12" s="5" t="s">
        <v>148</v>
      </c>
      <c r="D12" s="5"/>
      <c r="E12" s="80">
        <v>1.5</v>
      </c>
    </row>
    <row r="13" spans="2:7" s="18" customFormat="1" ht="16.5" customHeight="1" x14ac:dyDescent="0.3">
      <c r="B13" s="46" t="s">
        <v>25</v>
      </c>
      <c r="C13" s="146" t="s">
        <v>149</v>
      </c>
      <c r="D13" s="146"/>
      <c r="E13" s="79">
        <v>1</v>
      </c>
    </row>
    <row r="14" spans="2:7" s="18" customFormat="1" ht="16.5" customHeight="1" x14ac:dyDescent="0.3">
      <c r="B14" s="46" t="s">
        <v>51</v>
      </c>
      <c r="C14" s="5" t="s">
        <v>150</v>
      </c>
      <c r="D14" s="5"/>
      <c r="E14" s="81">
        <v>0.6</v>
      </c>
    </row>
    <row r="15" spans="2:7" s="18" customFormat="1" ht="16.5" customHeight="1" x14ac:dyDescent="0.3">
      <c r="B15" s="46" t="s">
        <v>53</v>
      </c>
      <c r="C15" s="146" t="s">
        <v>151</v>
      </c>
      <c r="D15" s="146"/>
      <c r="E15" s="79">
        <v>0.2</v>
      </c>
    </row>
    <row r="16" spans="2:7" ht="16.5" customHeight="1" x14ac:dyDescent="0.45">
      <c r="B16" s="46" t="s">
        <v>128</v>
      </c>
      <c r="C16" s="5" t="s">
        <v>152</v>
      </c>
      <c r="D16" s="5"/>
      <c r="E16" s="81">
        <v>8</v>
      </c>
    </row>
    <row r="17" spans="2:6" x14ac:dyDescent="0.45">
      <c r="B17" s="141" t="s">
        <v>153</v>
      </c>
      <c r="C17" s="141"/>
      <c r="D17" s="141"/>
      <c r="E17" s="82">
        <f>SUM(E9:E16)</f>
        <v>36.799999999999997</v>
      </c>
    </row>
    <row r="18" spans="2:6" s="49" customFormat="1" x14ac:dyDescent="0.45">
      <c r="B18" s="44" t="s">
        <v>113</v>
      </c>
      <c r="C18" s="56"/>
      <c r="D18" s="57"/>
      <c r="E18" s="58"/>
    </row>
    <row r="19" spans="2:6" s="49" customFormat="1" ht="15" customHeight="1" x14ac:dyDescent="0.45">
      <c r="B19" s="25">
        <v>3</v>
      </c>
      <c r="C19" s="141" t="s">
        <v>114</v>
      </c>
      <c r="D19" s="141"/>
      <c r="E19" s="46" t="s">
        <v>74</v>
      </c>
      <c r="F19" s="46" t="s">
        <v>137</v>
      </c>
    </row>
    <row r="20" spans="2:6" s="49" customFormat="1" x14ac:dyDescent="0.45">
      <c r="B20" s="25" t="s">
        <v>14</v>
      </c>
      <c r="C20" s="151" t="s">
        <v>154</v>
      </c>
      <c r="D20" s="151"/>
      <c r="E20" s="79">
        <f>PERC_EMPREG_DEMIT_SEM_JUSTA_CAUSA_TOTAL_DESLIG%*PERC_EMPREG_AVISO_PREVIO_IND%*1/MESES_NO_ANO*100</f>
        <v>0.26011000000000001</v>
      </c>
      <c r="F20" s="79" t="s">
        <v>155</v>
      </c>
    </row>
    <row r="21" spans="2:6" s="49" customFormat="1" x14ac:dyDescent="0.45">
      <c r="B21" s="46" t="s">
        <v>16</v>
      </c>
      <c r="C21" s="152" t="s">
        <v>156</v>
      </c>
      <c r="D21" s="152"/>
      <c r="E21" s="81">
        <f>PERC_FGTS%*PERC_AVISO_PREVIO_IND</f>
        <v>2.0808800000000002E-2</v>
      </c>
      <c r="F21" s="80" t="s">
        <v>157</v>
      </c>
    </row>
    <row r="22" spans="2:6" s="18" customFormat="1" x14ac:dyDescent="0.3">
      <c r="B22" s="46" t="s">
        <v>19</v>
      </c>
      <c r="C22" s="151" t="s">
        <v>158</v>
      </c>
      <c r="D22" s="151"/>
      <c r="E22" s="79">
        <f>PERC_AVISO_PREVIO_IND%*(PERC_MULTA_FGTS%)*PERC_FGTS%*100</f>
        <v>8.3235200000000009E-3</v>
      </c>
      <c r="F22" s="79" t="s">
        <v>159</v>
      </c>
    </row>
    <row r="23" spans="2:6" s="49" customFormat="1" x14ac:dyDescent="0.45">
      <c r="B23" s="46" t="s">
        <v>22</v>
      </c>
      <c r="C23" s="152" t="s">
        <v>160</v>
      </c>
      <c r="D23" s="152"/>
      <c r="E23" s="81">
        <f>PERC_EMPREG_DEMIT_SEM_JUSTA_CAUSA_TOTAL_DESLIG%*PERC_EMPREG_AVISO_PREVIO_TRAB%*(DIAS_NA_SEMANA/DIAS_NO_MES)/MESES_NO_ANO*100</f>
        <v>1.0328632222222223</v>
      </c>
      <c r="F23" s="80" t="s">
        <v>161</v>
      </c>
    </row>
    <row r="24" spans="2:6" s="18" customFormat="1" x14ac:dyDescent="0.3">
      <c r="B24" s="46" t="s">
        <v>25</v>
      </c>
      <c r="C24" s="151" t="s">
        <v>162</v>
      </c>
      <c r="D24" s="151"/>
      <c r="E24" s="79">
        <f>PERC_GPS_FGTS*PERC_AVISO_PREVIO_TRAB%</f>
        <v>0.38009366577777776</v>
      </c>
      <c r="F24" s="79" t="s">
        <v>163</v>
      </c>
    </row>
    <row r="25" spans="2:6" s="18" customFormat="1" x14ac:dyDescent="0.3">
      <c r="B25" s="46" t="s">
        <v>51</v>
      </c>
      <c r="C25" s="152" t="s">
        <v>164</v>
      </c>
      <c r="D25" s="152"/>
      <c r="E25" s="81">
        <f>ROUNDUP(PERC_AVISO_PREVIO_TRAB%*(PERC_MULTA_FGTS%)*PERC_FGTS%*100,2)</f>
        <v>0.04</v>
      </c>
      <c r="F25" s="80" t="s">
        <v>165</v>
      </c>
    </row>
    <row r="26" spans="2:6" s="18" customFormat="1" ht="16" customHeight="1" x14ac:dyDescent="0.45">
      <c r="B26" s="44" t="s">
        <v>70</v>
      </c>
      <c r="C26" s="56"/>
      <c r="D26" s="57"/>
      <c r="E26" s="15"/>
    </row>
    <row r="27" spans="2:6" s="18" customFormat="1" ht="16" customHeight="1" x14ac:dyDescent="0.45">
      <c r="B27" s="44" t="s">
        <v>71</v>
      </c>
      <c r="C27" s="56"/>
      <c r="D27" s="57"/>
      <c r="E27" s="58"/>
    </row>
    <row r="28" spans="2:6" s="18" customFormat="1" ht="16.5" customHeight="1" x14ac:dyDescent="0.3">
      <c r="B28" s="25" t="s">
        <v>72</v>
      </c>
      <c r="C28" s="3" t="s">
        <v>73</v>
      </c>
      <c r="D28" s="3"/>
      <c r="E28" s="46" t="s">
        <v>74</v>
      </c>
      <c r="F28" s="46" t="s">
        <v>137</v>
      </c>
    </row>
    <row r="29" spans="2:6" s="18" customFormat="1" ht="16" customHeight="1" x14ac:dyDescent="0.3">
      <c r="B29" s="46" t="s">
        <v>14</v>
      </c>
      <c r="C29" s="146" t="s">
        <v>166</v>
      </c>
      <c r="D29" s="146"/>
      <c r="E29" s="79">
        <f>(1/MESES_NO_ANO)*100</f>
        <v>8.3333333333333321</v>
      </c>
      <c r="F29" s="79" t="s">
        <v>167</v>
      </c>
    </row>
    <row r="30" spans="2:6" s="18" customFormat="1" ht="16" customHeight="1" x14ac:dyDescent="0.3">
      <c r="B30" s="46" t="s">
        <v>16</v>
      </c>
      <c r="C30" s="28" t="s">
        <v>168</v>
      </c>
      <c r="D30" s="28"/>
      <c r="E30" s="81">
        <f>(DIAS_AUSENCIAS_LEGAIS/DIAS_NO_MES)/MESES_NO_ANO*100</f>
        <v>2.2222222222222223</v>
      </c>
      <c r="F30" s="80" t="s">
        <v>169</v>
      </c>
    </row>
    <row r="31" spans="2:6" s="18" customFormat="1" ht="16" customHeight="1" x14ac:dyDescent="0.3">
      <c r="B31" s="46" t="s">
        <v>19</v>
      </c>
      <c r="C31" s="146" t="s">
        <v>170</v>
      </c>
      <c r="D31" s="146"/>
      <c r="E31" s="79">
        <f>(((DIAS_LICENCA_PATERNIDADE/DIAS_NO_MES)/MESES_NO_ANO)*PERC_NASCIDOS_VIVOS_POPUL_FEM%*PERC_PARTIC_MASC_VIGIL%)*100</f>
        <v>3.5673555555555549E-2</v>
      </c>
      <c r="F31" s="79" t="s">
        <v>171</v>
      </c>
    </row>
    <row r="32" spans="2:6" s="18" customFormat="1" ht="16.5" customHeight="1" x14ac:dyDescent="0.3">
      <c r="B32" s="46" t="s">
        <v>22</v>
      </c>
      <c r="C32" s="5" t="s">
        <v>172</v>
      </c>
      <c r="D32" s="5"/>
      <c r="E32" s="81">
        <f>(DIAS_PAGOS_EMPRESA_ACID_TRAB/DIAS_NO_MES)/MESES_NO_ANO*PERC_EMPREG_AFAST_TRAB%*100</f>
        <v>1.85302229372558E-2</v>
      </c>
      <c r="F32" s="80" t="s">
        <v>173</v>
      </c>
    </row>
    <row r="33" spans="2:7" s="18" customFormat="1" ht="33" customHeight="1" x14ac:dyDescent="0.3">
      <c r="B33" s="46" t="s">
        <v>25</v>
      </c>
      <c r="C33" s="146" t="s">
        <v>174</v>
      </c>
      <c r="D33" s="146"/>
      <c r="E33" s="79">
        <f>(((DIAS_LICENCA_MATERNIDADE/DIAS_NO_MES)/MESES_NO_ANO)*PERC_NASCIDOS_VIVOS_POPUL_FEM%*PERC_PARTIC_FEM_VIGIL%*PERC_GPS_FGTS%*100)</f>
        <v>0.14312918399999999</v>
      </c>
      <c r="F33" s="79" t="s">
        <v>175</v>
      </c>
    </row>
    <row r="34" spans="2:7" s="18" customFormat="1" x14ac:dyDescent="0.3">
      <c r="B34" s="46" t="s">
        <v>51</v>
      </c>
      <c r="C34" s="5" t="str">
        <f>OUTRAS_AUSENCIAS_DESCRICAO</f>
        <v>Outras Ausências (Especificar - em %)</v>
      </c>
      <c r="D34" s="5"/>
      <c r="E34" s="81">
        <f>PERC_SUBSTITUTO_OUTRAS_AUSENCIAS</f>
        <v>0</v>
      </c>
      <c r="F34" s="80"/>
    </row>
    <row r="36" spans="2:7" ht="21" x14ac:dyDescent="0.45">
      <c r="B36" s="68" t="s">
        <v>97</v>
      </c>
    </row>
    <row r="37" spans="2:7" ht="42.75" customHeight="1" x14ac:dyDescent="0.45">
      <c r="B37" s="147" t="s">
        <v>98</v>
      </c>
      <c r="C37" s="147"/>
      <c r="D37" s="147"/>
      <c r="E37" s="147"/>
      <c r="G37" s="83"/>
    </row>
  </sheetData>
  <mergeCells count="28">
    <mergeCell ref="C33:D33"/>
    <mergeCell ref="C34:D34"/>
    <mergeCell ref="B37:E37"/>
    <mergeCell ref="C25:D25"/>
    <mergeCell ref="C28:D28"/>
    <mergeCell ref="C29:D29"/>
    <mergeCell ref="C31:D31"/>
    <mergeCell ref="C32:D32"/>
    <mergeCell ref="C20:D20"/>
    <mergeCell ref="C21:D21"/>
    <mergeCell ref="C22:D22"/>
    <mergeCell ref="C23:D23"/>
    <mergeCell ref="C24:D24"/>
    <mergeCell ref="C14:D14"/>
    <mergeCell ref="C15:D15"/>
    <mergeCell ref="C16:D16"/>
    <mergeCell ref="B17:D17"/>
    <mergeCell ref="C19:D19"/>
    <mergeCell ref="C9:D9"/>
    <mergeCell ref="C10:D10"/>
    <mergeCell ref="C11:D11"/>
    <mergeCell ref="C12:D12"/>
    <mergeCell ref="C13:D13"/>
    <mergeCell ref="C4:D4"/>
    <mergeCell ref="C5:D5"/>
    <mergeCell ref="C6:D6"/>
    <mergeCell ref="B7:F7"/>
    <mergeCell ref="C8:D8"/>
  </mergeCells>
  <dataValidations count="2">
    <dataValidation type="decimal" allowBlank="1" showInputMessage="1" showErrorMessage="1" errorTitle="Erro na inserção de dados." error="O percentual do Aviso Prévio Indenizado deverá ser inferior a 0,64%, conforme determinou o Tribunal de Contas da União por meio do Acórdão nº 1.904/2007 - Plenário." sqref="E20" xr:uid="{00000000-0002-0000-0200-000000000000}">
      <formula1>0</formula1>
      <formula2>0.46</formula2>
    </dataValidation>
    <dataValidation type="decimal" allowBlank="1" showInputMessage="1" showErrorMessage="1" errorTitle="Erro na inserção de dados." error="O percentual do Aviso Prévio Indenizado deverá ser inferior a 1,94%, conforme determinou o Tribunal de Contas da União por meio do Acórdão nº 1.904/2007 - Plenário." sqref="E23" xr:uid="{00000000-0002-0000-0200-000001000000}">
      <formula1>0</formula1>
      <formula2>1.94</formula2>
    </dataValidation>
  </dataValidations>
  <pageMargins left="0.179861111111111" right="0.17013888888888901" top="0.1" bottom="2.9861111111111099E-2" header="0.51180555555555496" footer="0.51180555555555496"/>
  <pageSetup paperSize="9"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K109"/>
  <sheetViews>
    <sheetView tabSelected="1" topLeftCell="A100" zoomScaleNormal="100" workbookViewId="0">
      <selection activeCell="F87" sqref="F87"/>
    </sheetView>
  </sheetViews>
  <sheetFormatPr defaultRowHeight="16.5" x14ac:dyDescent="0.45"/>
  <cols>
    <col min="1" max="1" width="2.7265625" style="15" customWidth="1"/>
    <col min="2" max="2" width="8.81640625" style="15" customWidth="1"/>
    <col min="3" max="3" width="52.54296875" style="15" customWidth="1"/>
    <col min="4" max="4" width="7.90625" style="15" customWidth="1"/>
    <col min="5" max="5" width="13.54296875" style="15" customWidth="1"/>
    <col min="6" max="6" width="15.453125" style="15" customWidth="1"/>
    <col min="7" max="1025" width="9.08984375" style="15" customWidth="1"/>
  </cols>
  <sheetData>
    <row r="1" spans="2:6" ht="21" x14ac:dyDescent="0.55000000000000004">
      <c r="B1" s="153" t="str">
        <f>RAMO</f>
        <v>RAMO: MINISTÉRIO PÚBLICO FEDERAL</v>
      </c>
      <c r="C1" s="153"/>
      <c r="D1" s="153"/>
      <c r="E1" s="153"/>
      <c r="F1" s="153"/>
    </row>
    <row r="2" spans="2:6" ht="21" x14ac:dyDescent="0.55000000000000004">
      <c r="B2" s="154" t="str">
        <f>UG</f>
        <v>UNIDADE GESTORA (SIGLA): PR/AP</v>
      </c>
      <c r="C2" s="154"/>
      <c r="D2" s="154"/>
      <c r="E2" s="84" t="s">
        <v>2</v>
      </c>
      <c r="F2" s="85" t="str">
        <f>DATA_DO_ORCAMENTO_ESTIMATIVO</f>
        <v>XX/XX/2025</v>
      </c>
    </row>
    <row r="3" spans="2:6" s="18" customFormat="1" ht="25" x14ac:dyDescent="0.7">
      <c r="B3" s="13" t="s">
        <v>176</v>
      </c>
      <c r="C3" s="13"/>
      <c r="D3" s="13"/>
      <c r="E3" s="13"/>
      <c r="F3" s="13"/>
    </row>
    <row r="4" spans="2:6" s="18" customFormat="1" ht="16" customHeight="1" x14ac:dyDescent="0.45">
      <c r="B4" s="12" t="s">
        <v>5</v>
      </c>
      <c r="C4" s="12"/>
      <c r="D4" s="12"/>
      <c r="E4" s="12"/>
      <c r="F4" s="12"/>
    </row>
    <row r="5" spans="2:6" s="18" customFormat="1" ht="16" customHeight="1" x14ac:dyDescent="0.45">
      <c r="B5" s="11" t="s">
        <v>6</v>
      </c>
      <c r="C5" s="11"/>
      <c r="D5" s="155" t="str">
        <f>NUMERO_PROCESSO</f>
        <v>1.22.000.000104/2024-23</v>
      </c>
      <c r="E5" s="155"/>
      <c r="F5" s="155"/>
    </row>
    <row r="6" spans="2:6" s="18" customFormat="1" ht="15.75" customHeight="1" x14ac:dyDescent="0.45">
      <c r="B6" s="9" t="s">
        <v>177</v>
      </c>
      <c r="C6" s="9"/>
      <c r="D6" s="156" t="str">
        <f>MODALIDADE_DE_LICITACAO</f>
        <v>Pregão nº</v>
      </c>
      <c r="E6" s="156"/>
      <c r="F6" s="86" t="str">
        <f>NUMERO_PREGAO</f>
        <v>XX/2025</v>
      </c>
    </row>
    <row r="7" spans="2:6" s="18" customFormat="1" ht="15.75" customHeight="1" x14ac:dyDescent="0.45">
      <c r="B7" s="157" t="s">
        <v>178</v>
      </c>
      <c r="C7" s="157"/>
      <c r="D7" s="157"/>
      <c r="E7" s="157"/>
      <c r="F7" s="157"/>
    </row>
    <row r="8" spans="2:6" s="18" customFormat="1" ht="18" customHeight="1" x14ac:dyDescent="0.45">
      <c r="B8" s="23" t="s">
        <v>14</v>
      </c>
      <c r="C8" s="11" t="s">
        <v>15</v>
      </c>
      <c r="D8" s="11"/>
      <c r="E8" s="11"/>
      <c r="F8" s="87" t="str">
        <f>DATA_APRESENTACAO_PROPOSTA</f>
        <v>XX/XX/2025</v>
      </c>
    </row>
    <row r="9" spans="2:6" s="18" customFormat="1" ht="16" customHeight="1" x14ac:dyDescent="0.3">
      <c r="B9" s="25" t="s">
        <v>16</v>
      </c>
      <c r="C9" s="26" t="s">
        <v>17</v>
      </c>
      <c r="D9" s="148" t="str">
        <f>IF(LOCAL_DE_EXECUCAO="","",LOCAL_DE_EXECUCAO)</f>
        <v>PRAP</v>
      </c>
      <c r="E9" s="148"/>
      <c r="F9" s="148"/>
    </row>
    <row r="10" spans="2:6" s="18" customFormat="1" ht="18.75" customHeight="1" x14ac:dyDescent="0.45">
      <c r="B10" s="23" t="s">
        <v>19</v>
      </c>
      <c r="C10" s="11" t="s">
        <v>179</v>
      </c>
      <c r="D10" s="11"/>
      <c r="E10" s="11"/>
      <c r="F10" s="88" t="str">
        <f>ACORDO_COLETIVO</f>
        <v>AP000003/2025</v>
      </c>
    </row>
    <row r="11" spans="2:6" s="18" customFormat="1" ht="16" customHeight="1" x14ac:dyDescent="0.45">
      <c r="B11" s="25" t="s">
        <v>22</v>
      </c>
      <c r="C11" s="148" t="s">
        <v>26</v>
      </c>
      <c r="D11" s="148"/>
      <c r="E11" s="148"/>
      <c r="F11" s="53">
        <f>NUMERO_MESES_EXEC_CONTRATUAL</f>
        <v>12</v>
      </c>
    </row>
    <row r="12" spans="2:6" s="18" customFormat="1" x14ac:dyDescent="0.45">
      <c r="B12" s="25" t="s">
        <v>25</v>
      </c>
      <c r="C12" s="158" t="s">
        <v>180</v>
      </c>
      <c r="D12" s="158"/>
      <c r="E12" s="158"/>
      <c r="F12" s="29">
        <f>IF(QTDE_POSTOS="","",QTDE_POSTOS)</f>
        <v>1</v>
      </c>
    </row>
    <row r="13" spans="2:6" s="89" customFormat="1" ht="15" customHeight="1" x14ac:dyDescent="0.25">
      <c r="B13" s="90" t="s">
        <v>42</v>
      </c>
      <c r="C13" s="91"/>
      <c r="D13" s="91"/>
      <c r="E13" s="91"/>
      <c r="F13" s="91"/>
    </row>
    <row r="14" spans="2:6" s="18" customFormat="1" x14ac:dyDescent="0.45">
      <c r="B14" s="23">
        <v>1</v>
      </c>
      <c r="C14" s="11" t="s">
        <v>181</v>
      </c>
      <c r="D14" s="11"/>
      <c r="E14" s="155" t="str">
        <f>IF(TIPO_DE_SERVICO="","",TIPO_DE_SERVICO)</f>
        <v>Eletricista I</v>
      </c>
      <c r="F14" s="155"/>
    </row>
    <row r="15" spans="2:6" s="18" customFormat="1" x14ac:dyDescent="0.45">
      <c r="B15" s="23">
        <v>2</v>
      </c>
      <c r="C15" s="38" t="s">
        <v>36</v>
      </c>
      <c r="D15" s="159" t="str">
        <f>IF(CBO="","",CBO)</f>
        <v>9511-05</v>
      </c>
      <c r="E15" s="159"/>
      <c r="F15" s="159"/>
    </row>
    <row r="16" spans="2:6" s="18" customFormat="1" ht="15" customHeight="1" x14ac:dyDescent="0.45">
      <c r="B16" s="23">
        <v>3</v>
      </c>
      <c r="C16" s="37" t="s">
        <v>38</v>
      </c>
      <c r="D16" s="155" t="str">
        <f>IF(CATEGORIA_PROFISSIONAL="","",CATEGORIA_PROFISSIONAL)</f>
        <v>Eletricista de Manutenção Eletroeletrônica</v>
      </c>
      <c r="E16" s="155"/>
      <c r="F16" s="155"/>
    </row>
    <row r="17" spans="2:6" s="18" customFormat="1" ht="15" customHeight="1" x14ac:dyDescent="0.45">
      <c r="B17" s="23">
        <v>4</v>
      </c>
      <c r="C17" s="9" t="s">
        <v>40</v>
      </c>
      <c r="D17" s="9"/>
      <c r="E17" s="9"/>
      <c r="F17" s="92">
        <f>DATA_BASE_CATEGORIA</f>
        <v>45658</v>
      </c>
    </row>
    <row r="18" spans="2:6" s="93" customFormat="1" ht="20.25" customHeight="1" x14ac:dyDescent="0.45">
      <c r="B18" s="160" t="s">
        <v>182</v>
      </c>
      <c r="C18" s="160"/>
      <c r="D18" s="160"/>
      <c r="E18" s="160"/>
      <c r="F18" s="160"/>
    </row>
    <row r="19" spans="2:6" x14ac:dyDescent="0.45">
      <c r="B19" s="141" t="s">
        <v>183</v>
      </c>
      <c r="C19" s="141"/>
      <c r="D19" s="141"/>
      <c r="E19" s="141"/>
      <c r="F19" s="94">
        <f>IF(EMPREG_POR_POSTO="","",EMPREG_POR_POSTO)</f>
        <v>1</v>
      </c>
    </row>
    <row r="20" spans="2:6" x14ac:dyDescent="0.45">
      <c r="B20" s="44" t="s">
        <v>43</v>
      </c>
      <c r="E20" s="45"/>
      <c r="F20" s="45"/>
    </row>
    <row r="21" spans="2:6" ht="16.5" customHeight="1" x14ac:dyDescent="0.45">
      <c r="B21" s="25">
        <v>1</v>
      </c>
      <c r="C21" s="3" t="s">
        <v>44</v>
      </c>
      <c r="D21" s="3"/>
      <c r="E21" s="3"/>
      <c r="F21" s="46" t="s">
        <v>84</v>
      </c>
    </row>
    <row r="22" spans="2:6" ht="16.5" customHeight="1" x14ac:dyDescent="0.45">
      <c r="B22" s="25" t="s">
        <v>14</v>
      </c>
      <c r="C22" s="2" t="s">
        <v>184</v>
      </c>
      <c r="D22" s="2"/>
      <c r="E22" s="2"/>
      <c r="F22" s="95">
        <f>SALARIO_BASE</f>
        <v>2537.0500000000002</v>
      </c>
    </row>
    <row r="23" spans="2:6" ht="16.5" customHeight="1" x14ac:dyDescent="0.45">
      <c r="B23" s="25" t="s">
        <v>16</v>
      </c>
      <c r="C23" s="5" t="s">
        <v>185</v>
      </c>
      <c r="D23" s="5"/>
      <c r="E23" s="5"/>
      <c r="F23" s="96">
        <f>PERC_ADIC_PERIC%*SALARIO_BASE</f>
        <v>0</v>
      </c>
    </row>
    <row r="24" spans="2:6" ht="15.75" customHeight="1" x14ac:dyDescent="0.45">
      <c r="B24" s="25" t="s">
        <v>19</v>
      </c>
      <c r="C24" s="161" t="s">
        <v>186</v>
      </c>
      <c r="D24" s="161"/>
      <c r="E24" s="161"/>
      <c r="F24" s="95">
        <f>((AL_1_A_SAL_BASE+AL_1_B_ADIC_PERIC)/DIVISOR_DE_HORAS)*DIAS_NA_SEMANA*MEDIA_ANUAL_DIAS_TRABALHO_MES*PERC_ADIC_NOT%</f>
        <v>0</v>
      </c>
    </row>
    <row r="25" spans="2:6" ht="15.75" customHeight="1" x14ac:dyDescent="0.45">
      <c r="B25" s="25" t="s">
        <v>22</v>
      </c>
      <c r="C25" s="5" t="s">
        <v>187</v>
      </c>
      <c r="D25" s="5"/>
      <c r="E25" s="5"/>
      <c r="F25" s="96">
        <f>((AL_1_A_SAL_BASE+AL_1_B_ADIC_PERIC)/DIVISOR_DE_HORAS)*((HORA_NORMAL-HORA_NOTURNA)/HORA_NOTURNA)*DIAS_NA_SEMANA*MEDIA_ANUAL_DIAS_TRABALHO_MES*PERC_ADIC_NOT%</f>
        <v>0</v>
      </c>
    </row>
    <row r="26" spans="2:6" ht="15.75" customHeight="1" x14ac:dyDescent="0.45">
      <c r="B26" s="25" t="s">
        <v>25</v>
      </c>
      <c r="C26" s="146" t="s">
        <v>188</v>
      </c>
      <c r="D26" s="146"/>
      <c r="E26" s="146"/>
      <c r="F26" s="95">
        <f>PERC_ADIC_INS%*SAL_MINIMO</f>
        <v>0</v>
      </c>
    </row>
    <row r="27" spans="2:6" x14ac:dyDescent="0.45">
      <c r="B27" s="25" t="s">
        <v>51</v>
      </c>
      <c r="C27" s="1" t="str">
        <f>OUTROS_REMUNERACAO_1_DESCRICAO</f>
        <v>Outras Remunerações 1 (Especificar)</v>
      </c>
      <c r="D27" s="1"/>
      <c r="E27" s="1"/>
      <c r="F27" s="96">
        <f>OUTROS_REMUNERACAO_1</f>
        <v>0</v>
      </c>
    </row>
    <row r="28" spans="2:6" x14ac:dyDescent="0.45">
      <c r="B28" s="25" t="s">
        <v>53</v>
      </c>
      <c r="C28" s="2" t="str">
        <f>OUTROS_REMUNERACAO_2_DESCRICAO</f>
        <v>Outras Remunerações 2 (Especificar)</v>
      </c>
      <c r="D28" s="2"/>
      <c r="E28" s="2"/>
      <c r="F28" s="95">
        <f>OUTROS_REMUNERACAO_2</f>
        <v>0</v>
      </c>
    </row>
    <row r="29" spans="2:6" x14ac:dyDescent="0.45">
      <c r="B29" s="25" t="s">
        <v>128</v>
      </c>
      <c r="C29" s="1" t="str">
        <f>OUTROS_REMUNERACAO_3_DESCRICAO</f>
        <v>Outras Remunerações 3 (Especificar)</v>
      </c>
      <c r="D29" s="1"/>
      <c r="E29" s="1"/>
      <c r="F29" s="96">
        <f>OUTROS_REMUNERACAO_3</f>
        <v>0</v>
      </c>
    </row>
    <row r="30" spans="2:6" ht="16.5" customHeight="1" x14ac:dyDescent="0.45">
      <c r="B30" s="3" t="s">
        <v>153</v>
      </c>
      <c r="C30" s="3"/>
      <c r="D30" s="3"/>
      <c r="E30" s="3"/>
      <c r="F30" s="97">
        <f>SUM(F22:F29)</f>
        <v>2537.0500000000002</v>
      </c>
    </row>
    <row r="31" spans="2:6" x14ac:dyDescent="0.45">
      <c r="B31" s="44" t="s">
        <v>55</v>
      </c>
      <c r="E31" s="50"/>
      <c r="F31" s="50"/>
    </row>
    <row r="32" spans="2:6" x14ac:dyDescent="0.45">
      <c r="B32" s="44" t="s">
        <v>134</v>
      </c>
      <c r="C32" s="56"/>
      <c r="D32" s="57"/>
      <c r="E32" s="58"/>
      <c r="F32" s="58"/>
    </row>
    <row r="33" spans="2:6" x14ac:dyDescent="0.45">
      <c r="B33" s="25" t="s">
        <v>135</v>
      </c>
      <c r="C33" s="141" t="s">
        <v>136</v>
      </c>
      <c r="D33" s="141"/>
      <c r="E33" s="46" t="s">
        <v>74</v>
      </c>
      <c r="F33" s="46" t="s">
        <v>84</v>
      </c>
    </row>
    <row r="34" spans="2:6" ht="16.5" customHeight="1" x14ac:dyDescent="0.45">
      <c r="B34" s="25" t="s">
        <v>14</v>
      </c>
      <c r="C34" s="146" t="s">
        <v>138</v>
      </c>
      <c r="D34" s="146"/>
      <c r="E34" s="79">
        <f>PERC_DEC_TERC</f>
        <v>8.3333333333333321</v>
      </c>
      <c r="F34" s="76">
        <f>PERC_DEC_TERC%*MOD_1_REMUNERACAO</f>
        <v>211.42083333333329</v>
      </c>
    </row>
    <row r="35" spans="2:6" ht="16.5" customHeight="1" x14ac:dyDescent="0.45">
      <c r="B35" s="46" t="s">
        <v>16</v>
      </c>
      <c r="C35" s="5" t="s">
        <v>140</v>
      </c>
      <c r="D35" s="5"/>
      <c r="E35" s="80">
        <f>PERC_ADIC_FERIAS</f>
        <v>2.7777777777777777</v>
      </c>
      <c r="F35" s="77">
        <f>PERC_ADIC_FERIAS%*MOD_1_REMUNERACAO</f>
        <v>70.473611111111111</v>
      </c>
    </row>
    <row r="36" spans="2:6" s="49" customFormat="1" x14ac:dyDescent="0.45">
      <c r="B36" s="141" t="s">
        <v>153</v>
      </c>
      <c r="C36" s="141"/>
      <c r="D36" s="141"/>
      <c r="E36" s="141"/>
      <c r="F36" s="98">
        <f>SUM(F34:F35)</f>
        <v>281.89444444444439</v>
      </c>
    </row>
    <row r="37" spans="2:6" s="49" customFormat="1" ht="31.5" customHeight="1" x14ac:dyDescent="0.45">
      <c r="B37" s="162" t="s">
        <v>142</v>
      </c>
      <c r="C37" s="162"/>
      <c r="D37" s="162"/>
      <c r="E37" s="162"/>
      <c r="F37" s="162"/>
    </row>
    <row r="38" spans="2:6" s="49" customFormat="1" ht="34.5" customHeight="1" x14ac:dyDescent="0.45">
      <c r="B38" s="25" t="s">
        <v>143</v>
      </c>
      <c r="C38" s="150" t="s">
        <v>144</v>
      </c>
      <c r="D38" s="150"/>
      <c r="E38" s="46" t="s">
        <v>74</v>
      </c>
      <c r="F38" s="46" t="s">
        <v>84</v>
      </c>
    </row>
    <row r="39" spans="2:6" ht="16.5" customHeight="1" x14ac:dyDescent="0.45">
      <c r="B39" s="25" t="s">
        <v>14</v>
      </c>
      <c r="C39" s="146" t="s">
        <v>145</v>
      </c>
      <c r="D39" s="146"/>
      <c r="E39" s="79">
        <f>PERC_INSS</f>
        <v>20</v>
      </c>
      <c r="F39" s="76">
        <f>PERC_INSS%*(MOD_1_REMUNERACAO+SUBMOD_2_1_DEC_TERC_ADIC_FERIAS)</f>
        <v>563.78888888888889</v>
      </c>
    </row>
    <row r="40" spans="2:6" s="18" customFormat="1" ht="16.5" customHeight="1" x14ac:dyDescent="0.3">
      <c r="B40" s="46" t="s">
        <v>16</v>
      </c>
      <c r="C40" s="5" t="s">
        <v>146</v>
      </c>
      <c r="D40" s="5"/>
      <c r="E40" s="81">
        <f>PERC_SAL_EDUCACAO</f>
        <v>2.5</v>
      </c>
      <c r="F40" s="77">
        <f>PERC_SAL_EDUCACAO%*(MOD_1_REMUNERACAO+SUBMOD_2_1_DEC_TERC_ADIC_FERIAS)</f>
        <v>70.473611111111111</v>
      </c>
    </row>
    <row r="41" spans="2:6" s="18" customFormat="1" ht="16.5" customHeight="1" x14ac:dyDescent="0.3">
      <c r="B41" s="46" t="s">
        <v>19</v>
      </c>
      <c r="C41" s="146" t="s">
        <v>147</v>
      </c>
      <c r="D41" s="146"/>
      <c r="E41" s="79">
        <f>PERC_RAT</f>
        <v>3</v>
      </c>
      <c r="F41" s="76">
        <f>PERC_RAT%*(MOD_1_REMUNERACAO+SUBMOD_2_1_DEC_TERC_ADIC_FERIAS)</f>
        <v>84.568333333333328</v>
      </c>
    </row>
    <row r="42" spans="2:6" s="18" customFormat="1" ht="16.5" customHeight="1" x14ac:dyDescent="0.3">
      <c r="B42" s="46" t="s">
        <v>22</v>
      </c>
      <c r="C42" s="5" t="s">
        <v>148</v>
      </c>
      <c r="D42" s="5"/>
      <c r="E42" s="80">
        <f>PERC_SESC</f>
        <v>1.5</v>
      </c>
      <c r="F42" s="77">
        <f>PERC_SESC%*(MOD_1_REMUNERACAO+SUBMOD_2_1_DEC_TERC_ADIC_FERIAS)</f>
        <v>42.284166666666664</v>
      </c>
    </row>
    <row r="43" spans="2:6" s="18" customFormat="1" ht="16.5" customHeight="1" x14ac:dyDescent="0.3">
      <c r="B43" s="46" t="s">
        <v>25</v>
      </c>
      <c r="C43" s="146" t="s">
        <v>149</v>
      </c>
      <c r="D43" s="146"/>
      <c r="E43" s="79">
        <f>PERC_SENAC</f>
        <v>1</v>
      </c>
      <c r="F43" s="76">
        <f>PERC_SENAC%*(MOD_1_REMUNERACAO+SUBMOD_2_1_DEC_TERC_ADIC_FERIAS)</f>
        <v>28.189444444444444</v>
      </c>
    </row>
    <row r="44" spans="2:6" s="18" customFormat="1" ht="16.5" customHeight="1" x14ac:dyDescent="0.3">
      <c r="B44" s="46" t="s">
        <v>51</v>
      </c>
      <c r="C44" s="5" t="s">
        <v>150</v>
      </c>
      <c r="D44" s="5"/>
      <c r="E44" s="81">
        <f>PERC_SEBRAE</f>
        <v>0.6</v>
      </c>
      <c r="F44" s="77">
        <f>PERC_SEBRAE%*(MOD_1_REMUNERACAO+SUBMOD_2_1_DEC_TERC_ADIC_FERIAS)</f>
        <v>16.913666666666668</v>
      </c>
    </row>
    <row r="45" spans="2:6" s="18" customFormat="1" ht="16.5" customHeight="1" x14ac:dyDescent="0.3">
      <c r="B45" s="46" t="s">
        <v>53</v>
      </c>
      <c r="C45" s="146" t="s">
        <v>151</v>
      </c>
      <c r="D45" s="146"/>
      <c r="E45" s="79">
        <f>PERC_INCRA</f>
        <v>0.2</v>
      </c>
      <c r="F45" s="76">
        <f>PERC_INCRA%*(MOD_1_REMUNERACAO+SUBMOD_2_1_DEC_TERC_ADIC_FERIAS)</f>
        <v>5.6378888888888889</v>
      </c>
    </row>
    <row r="46" spans="2:6" ht="16.5" customHeight="1" x14ac:dyDescent="0.45">
      <c r="B46" s="46" t="s">
        <v>128</v>
      </c>
      <c r="C46" s="5" t="s">
        <v>152</v>
      </c>
      <c r="D46" s="5"/>
      <c r="E46" s="81">
        <f>PERC_FGTS</f>
        <v>8</v>
      </c>
      <c r="F46" s="77">
        <f>PERC_FGTS%*(MOD_1_REMUNERACAO+SUBMOD_2_1_DEC_TERC_ADIC_FERIAS)</f>
        <v>225.51555555555555</v>
      </c>
    </row>
    <row r="47" spans="2:6" x14ac:dyDescent="0.45">
      <c r="B47" s="141" t="s">
        <v>153</v>
      </c>
      <c r="C47" s="141"/>
      <c r="D47" s="141"/>
      <c r="E47" s="141"/>
      <c r="F47" s="99">
        <f>SUM(F39:F46)</f>
        <v>1037.3715555555557</v>
      </c>
    </row>
    <row r="48" spans="2:6" ht="15.75" customHeight="1" x14ac:dyDescent="0.45">
      <c r="B48" s="44" t="s">
        <v>56</v>
      </c>
      <c r="C48" s="18"/>
      <c r="D48" s="18"/>
      <c r="E48" s="18"/>
      <c r="F48" s="18"/>
    </row>
    <row r="49" spans="2:6" ht="15.75" customHeight="1" x14ac:dyDescent="0.45">
      <c r="B49" s="25" t="s">
        <v>57</v>
      </c>
      <c r="C49" s="3" t="s">
        <v>58</v>
      </c>
      <c r="D49" s="3"/>
      <c r="E49" s="3"/>
      <c r="F49" s="46" t="s">
        <v>84</v>
      </c>
    </row>
    <row r="50" spans="2:6" ht="16.399999999999999" customHeight="1" x14ac:dyDescent="0.45">
      <c r="B50" s="23" t="s">
        <v>14</v>
      </c>
      <c r="C50" s="146" t="s">
        <v>61</v>
      </c>
      <c r="D50" s="146"/>
      <c r="E50" s="146"/>
      <c r="F50" s="76">
        <f>IF(((TRANSPORTE_POR_DIA*DIAS_TRABALHADOS_NO_MES)-(PERC_DESC_TRANSP_REMUNERACAO%*(AL_1_A_SAL_BASE)))&gt;0,((TRANSPORTE_POR_DIA*DIAS_TRABALHADOS_NO_MES)-(PERC_DESC_TRANSP_REMUNERACAO%*(AL_1_A_SAL_BASE))),0)</f>
        <v>10.576999999999998</v>
      </c>
    </row>
    <row r="51" spans="2:6" s="49" customFormat="1" ht="16.399999999999999" customHeight="1" x14ac:dyDescent="0.45">
      <c r="B51" s="23" t="s">
        <v>16</v>
      </c>
      <c r="C51" s="5" t="s">
        <v>63</v>
      </c>
      <c r="D51" s="5"/>
      <c r="E51" s="5"/>
      <c r="F51" s="77">
        <f>ALIMENTACAO_POR_DIA*DIAS_TRABALHADOS_NO_MES</f>
        <v>594</v>
      </c>
    </row>
    <row r="52" spans="2:6" s="49" customFormat="1" x14ac:dyDescent="0.45">
      <c r="B52" s="23" t="s">
        <v>19</v>
      </c>
      <c r="C52" s="2" t="str">
        <f>OUTROS_BENEFICIOS_1_DESCRICAO</f>
        <v>Benefício Social (CCT, Cláusula 15ª)</v>
      </c>
      <c r="D52" s="2"/>
      <c r="E52" s="2"/>
      <c r="F52" s="76">
        <v>20.79</v>
      </c>
    </row>
    <row r="53" spans="2:6" s="49" customFormat="1" x14ac:dyDescent="0.45">
      <c r="B53" s="23" t="s">
        <v>22</v>
      </c>
      <c r="C53" s="1" t="str">
        <f>OUTROS_BENEFICIOS_2_DESCRICAO</f>
        <v>Outros Benefícios 2</v>
      </c>
      <c r="D53" s="1"/>
      <c r="E53" s="1"/>
      <c r="F53" s="77">
        <f>OUTROS_BENEFICIOS_2/MESES_NO_ANO</f>
        <v>0</v>
      </c>
    </row>
    <row r="54" spans="2:6" s="49" customFormat="1" x14ac:dyDescent="0.45">
      <c r="B54" s="23" t="s">
        <v>25</v>
      </c>
      <c r="C54" s="2" t="str">
        <f>OUTROS_BENEFICIOS_3_DESCRICAO</f>
        <v>Outros Benefícios 3</v>
      </c>
      <c r="D54" s="2"/>
      <c r="E54" s="2"/>
      <c r="F54" s="76">
        <f>OUTROS_BENEFICIOS_3</f>
        <v>0</v>
      </c>
    </row>
    <row r="55" spans="2:6" s="49" customFormat="1" ht="16.399999999999999" customHeight="1" x14ac:dyDescent="0.45">
      <c r="B55" s="23" t="s">
        <v>51</v>
      </c>
      <c r="C55" s="1" t="s">
        <v>189</v>
      </c>
      <c r="D55" s="1"/>
      <c r="E55" s="1"/>
      <c r="F55" s="77">
        <f>'INSERÇÃO-DE-DADOS'!F47/MESES_NO_ANO</f>
        <v>0</v>
      </c>
    </row>
    <row r="56" spans="2:6" s="49" customFormat="1" ht="15" customHeight="1" x14ac:dyDescent="0.45">
      <c r="B56" s="3" t="s">
        <v>153</v>
      </c>
      <c r="C56" s="3"/>
      <c r="D56" s="3"/>
      <c r="E56" s="3"/>
      <c r="F56" s="97">
        <f>SUM(F50:F55)</f>
        <v>625.36699999999996</v>
      </c>
    </row>
    <row r="57" spans="2:6" s="49" customFormat="1" x14ac:dyDescent="0.45">
      <c r="B57" s="44" t="s">
        <v>113</v>
      </c>
      <c r="C57" s="56"/>
      <c r="D57" s="57"/>
      <c r="E57" s="58"/>
      <c r="F57" s="58"/>
    </row>
    <row r="58" spans="2:6" s="49" customFormat="1" ht="15" customHeight="1" x14ac:dyDescent="0.45">
      <c r="B58" s="25">
        <v>3</v>
      </c>
      <c r="C58" s="141" t="s">
        <v>114</v>
      </c>
      <c r="D58" s="141"/>
      <c r="E58" s="46" t="s">
        <v>74</v>
      </c>
      <c r="F58" s="46" t="s">
        <v>84</v>
      </c>
    </row>
    <row r="59" spans="2:6" s="49" customFormat="1" x14ac:dyDescent="0.45">
      <c r="B59" s="25" t="s">
        <v>14</v>
      </c>
      <c r="C59" s="151" t="s">
        <v>154</v>
      </c>
      <c r="D59" s="151"/>
      <c r="E59" s="79">
        <f>PERC_AVISO_PREVIO_IND</f>
        <v>0.26011000000000001</v>
      </c>
      <c r="F59" s="76">
        <f>PERC_AVISO_PREVIO_IND%*(MOD_1_REMUNERACAO+SUBMOD_2_1_DEC_TERC_ADIC_FERIAS+AL_2_2_FGTS+SUBMOD_2_3_BENEFICIOS)</f>
        <v>9.545587009700002</v>
      </c>
    </row>
    <row r="60" spans="2:6" s="49" customFormat="1" x14ac:dyDescent="0.45">
      <c r="B60" s="46" t="s">
        <v>16</v>
      </c>
      <c r="C60" s="152" t="s">
        <v>156</v>
      </c>
      <c r="D60" s="152"/>
      <c r="E60" s="81">
        <f>PERC_FGTS_AVISO_PREV_IND</f>
        <v>2.0808800000000002E-2</v>
      </c>
      <c r="F60" s="77">
        <f>PERC_FGTS_AVISO_PREV_IND%*(MOD_1_REMUNERACAO+SUBMOD_2_1_DEC_TERC_ADIC_FERIAS)</f>
        <v>0.58658851155555558</v>
      </c>
    </row>
    <row r="61" spans="2:6" s="18" customFormat="1" ht="34.5" customHeight="1" x14ac:dyDescent="0.3">
      <c r="B61" s="46" t="s">
        <v>19</v>
      </c>
      <c r="C61" s="151" t="s">
        <v>158</v>
      </c>
      <c r="D61" s="151"/>
      <c r="E61" s="79">
        <f>PERC_MULTA_FGTS_AV_PREV_IND</f>
        <v>8.3235200000000009E-3</v>
      </c>
      <c r="F61" s="76">
        <f>PERC_MULTA_FGTS_AV_PREV_IND%*(MOD_1_REMUNERACAO+SUBMOD_2_1_DEC_TERC_ADIC_FERIAS)</f>
        <v>0.23463540462222224</v>
      </c>
    </row>
    <row r="62" spans="2:6" s="49" customFormat="1" x14ac:dyDescent="0.45">
      <c r="B62" s="46" t="s">
        <v>22</v>
      </c>
      <c r="C62" s="152" t="s">
        <v>160</v>
      </c>
      <c r="D62" s="152"/>
      <c r="E62" s="81">
        <f>PERC_AVISO_PREVIO_TRAB</f>
        <v>1.0328632222222223</v>
      </c>
      <c r="F62" s="77">
        <f>PERC_AVISO_PREVIO_TRAB%*(MOD_1_REMUNERACAO+SUBMOD_2_1_DEC_TERC_ADIC_FERIAS+SUBMOD_2_2_GPS_FGTS+SUBMOD_2_3_BENEFICIOS)</f>
        <v>46.289655443585559</v>
      </c>
    </row>
    <row r="63" spans="2:6" s="18" customFormat="1" ht="35.25" customHeight="1" x14ac:dyDescent="0.3">
      <c r="B63" s="46" t="s">
        <v>25</v>
      </c>
      <c r="C63" s="151" t="s">
        <v>162</v>
      </c>
      <c r="D63" s="151"/>
      <c r="E63" s="79">
        <f>PERC_GPS_FGTS_AVISO_PREVIO_TRAB</f>
        <v>0.38009366577777776</v>
      </c>
      <c r="F63" s="76">
        <f>PERC_GPS_FGTS_AVISO_PREVIO_TRAB%*(MOD_1_REMUNERACAO+SUBMOD_2_1_DEC_TERC_ADIC_FERIAS)</f>
        <v>10.7146292751279</v>
      </c>
    </row>
    <row r="64" spans="2:6" s="18" customFormat="1" ht="32.25" customHeight="1" x14ac:dyDescent="0.3">
      <c r="B64" s="46" t="s">
        <v>51</v>
      </c>
      <c r="C64" s="152" t="s">
        <v>164</v>
      </c>
      <c r="D64" s="152"/>
      <c r="E64" s="81">
        <f>PERC_MULTA_FGTS_AV_PREV_TRAB</f>
        <v>0.04</v>
      </c>
      <c r="F64" s="77">
        <f>PERC_MULTA_FGTS_AV_PREV_TRAB%*(MOD_1_REMUNERACAO+SUBMOD_2_1_DEC_TERC_ADIC_FERIAS)</f>
        <v>1.1275777777777778</v>
      </c>
    </row>
    <row r="65" spans="2:6" s="18" customFormat="1" x14ac:dyDescent="0.45">
      <c r="B65" s="141" t="s">
        <v>153</v>
      </c>
      <c r="C65" s="141"/>
      <c r="D65" s="141"/>
      <c r="E65" s="141"/>
      <c r="F65" s="98">
        <f>SUM(F59:F64)</f>
        <v>68.498673422369009</v>
      </c>
    </row>
    <row r="66" spans="2:6" ht="7.5" customHeight="1" x14ac:dyDescent="0.45">
      <c r="B66" s="100"/>
      <c r="D66" s="36"/>
      <c r="E66" s="45"/>
      <c r="F66" s="45"/>
    </row>
    <row r="67" spans="2:6" s="18" customFormat="1" ht="16" customHeight="1" x14ac:dyDescent="0.45">
      <c r="B67" s="44" t="s">
        <v>70</v>
      </c>
      <c r="C67" s="56"/>
      <c r="D67" s="57"/>
      <c r="E67" s="15"/>
      <c r="F67" s="15"/>
    </row>
    <row r="68" spans="2:6" s="18" customFormat="1" ht="16" customHeight="1" x14ac:dyDescent="0.45">
      <c r="B68" s="44" t="s">
        <v>71</v>
      </c>
      <c r="C68" s="56"/>
      <c r="D68" s="57"/>
      <c r="E68" s="58"/>
      <c r="F68" s="58"/>
    </row>
    <row r="69" spans="2:6" s="18" customFormat="1" ht="16.5" customHeight="1" x14ac:dyDescent="0.3">
      <c r="B69" s="25" t="s">
        <v>72</v>
      </c>
      <c r="C69" s="3" t="s">
        <v>73</v>
      </c>
      <c r="D69" s="3"/>
      <c r="E69" s="46" t="s">
        <v>74</v>
      </c>
      <c r="F69" s="46" t="s">
        <v>84</v>
      </c>
    </row>
    <row r="70" spans="2:6" s="18" customFormat="1" ht="16" customHeight="1" x14ac:dyDescent="0.3">
      <c r="B70" s="46" t="s">
        <v>14</v>
      </c>
      <c r="C70" s="146" t="s">
        <v>166</v>
      </c>
      <c r="D70" s="146"/>
      <c r="E70" s="79">
        <f>PERC_SUBSTITUTO_FERIAS</f>
        <v>8.3333333333333321</v>
      </c>
      <c r="F70" s="76">
        <f>PERC_SUBSTITUTO_FERIAS%*(MOD_1_REMUNERACAO+MOD_2_ENCARGOS_BENEFICIOS+MOD_3_PROVISAO_RESCISAO)</f>
        <v>379.18180611853069</v>
      </c>
    </row>
    <row r="71" spans="2:6" s="18" customFormat="1" ht="16" customHeight="1" x14ac:dyDescent="0.3">
      <c r="B71" s="46" t="s">
        <v>16</v>
      </c>
      <c r="C71" s="5" t="s">
        <v>168</v>
      </c>
      <c r="D71" s="5"/>
      <c r="E71" s="81">
        <f>PERC_SUBSTITUTO_AUSENCIAS_LEGAIS</f>
        <v>2.2222222222222223</v>
      </c>
      <c r="F71" s="77">
        <f>PERC_SUBSTITUTO_AUSENCIAS_LEGAIS%*(MOD_1_REMUNERACAO+MOD_2_ENCARGOS_BENEFICIOS+MOD_3_PROVISAO_RESCISAO)</f>
        <v>101.11514829827487</v>
      </c>
    </row>
    <row r="72" spans="2:6" s="18" customFormat="1" ht="16" customHeight="1" x14ac:dyDescent="0.3">
      <c r="B72" s="46" t="s">
        <v>19</v>
      </c>
      <c r="C72" s="146" t="s">
        <v>170</v>
      </c>
      <c r="D72" s="146"/>
      <c r="E72" s="79">
        <f>PERC_SUBSTITUTO_LICENCA_PATERNIDADE</f>
        <v>3.5673555555555549E-2</v>
      </c>
      <c r="F72" s="76">
        <f>PERC_SUBSTITUTO_LICENCA_PATERNIDADE%*(MOD_1_REMUNERACAO+MOD_2_ENCARGOS_BENEFICIOS+MOD_3_PROVISAO_RESCISAO)</f>
        <v>1.6232115871470361</v>
      </c>
    </row>
    <row r="73" spans="2:6" s="18" customFormat="1" ht="16.5" customHeight="1" x14ac:dyDescent="0.3">
      <c r="B73" s="46" t="s">
        <v>22</v>
      </c>
      <c r="C73" s="5" t="s">
        <v>172</v>
      </c>
      <c r="D73" s="5"/>
      <c r="E73" s="81">
        <f>PERC_SUBSTITUTO_ACID_TRAB</f>
        <v>1.85302229372558E-2</v>
      </c>
      <c r="F73" s="77">
        <f>PERC_SUBSTITUTO_ACID_TRAB%*(MOD_1_REMUNERACAO+MOD_2_ENCARGOS_BENEFICIOS+MOD_3_PROVISAO_RESCISAO)</f>
        <v>0.84315880813532162</v>
      </c>
    </row>
    <row r="74" spans="2:6" s="18" customFormat="1" ht="16.5" customHeight="1" x14ac:dyDescent="0.3">
      <c r="B74" s="46" t="s">
        <v>25</v>
      </c>
      <c r="C74" s="146" t="s">
        <v>174</v>
      </c>
      <c r="D74" s="146"/>
      <c r="E74" s="79">
        <f>PERC_SUBSTITUTO_AFAST_MATERN</f>
        <v>0.14312918399999999</v>
      </c>
      <c r="F74" s="76">
        <f>PERC_SUBSTITUTO_AFAST_MATERN%*(MOD_1_REMUNERACAO+MOD_2_ENCARGOS_BENEFICIOS+MOD_3_PROVISAO_RESCISAO)</f>
        <v>6.5126378996869825</v>
      </c>
    </row>
    <row r="75" spans="2:6" s="18" customFormat="1" x14ac:dyDescent="0.3">
      <c r="B75" s="46" t="s">
        <v>51</v>
      </c>
      <c r="C75" s="163" t="str">
        <f>OUTRAS_AUSENCIAS_DESCRICAO</f>
        <v>Outras Ausências (Especificar - em %)</v>
      </c>
      <c r="D75" s="163"/>
      <c r="E75" s="101">
        <f>PERC_SUBSTITUTO_OUTRAS_AUSENCIAS</f>
        <v>0</v>
      </c>
      <c r="F75" s="77">
        <f>PERC_SUBSTITUTO_OUTRAS_AUSENCIAS%*(MOD_1_REMUNERACAO+MOD_2_ENCARGOS_BENEFICIOS+MOD_3_PROVISAO_RESCISAO)</f>
        <v>0</v>
      </c>
    </row>
    <row r="76" spans="2:6" s="18" customFormat="1" x14ac:dyDescent="0.45">
      <c r="B76" s="141" t="s">
        <v>153</v>
      </c>
      <c r="C76" s="141"/>
      <c r="D76" s="141"/>
      <c r="E76" s="141"/>
      <c r="F76" s="98">
        <f>SUM(F70:F75)</f>
        <v>489.27596271177487</v>
      </c>
    </row>
    <row r="77" spans="2:6" s="18" customFormat="1" ht="15" customHeight="1" x14ac:dyDescent="0.45">
      <c r="B77" s="44" t="s">
        <v>76</v>
      </c>
      <c r="C77" s="56"/>
      <c r="D77" s="57"/>
      <c r="E77" s="58"/>
      <c r="F77" s="58"/>
    </row>
    <row r="78" spans="2:6" s="18" customFormat="1" x14ac:dyDescent="0.3">
      <c r="B78" s="25" t="s">
        <v>77</v>
      </c>
      <c r="C78" s="141" t="s">
        <v>78</v>
      </c>
      <c r="D78" s="141"/>
      <c r="E78" s="141"/>
      <c r="F78" s="46" t="s">
        <v>84</v>
      </c>
    </row>
    <row r="79" spans="2:6" s="18" customFormat="1" ht="16.5" customHeight="1" x14ac:dyDescent="0.3">
      <c r="B79" s="25" t="s">
        <v>14</v>
      </c>
      <c r="C79" s="146" t="s">
        <v>190</v>
      </c>
      <c r="D79" s="146"/>
      <c r="E79" s="146"/>
      <c r="F79" s="95">
        <f>IF(DIAS_TRABALHADOS_NO_MES=15,((MOD_1_REMUNERACAO+MOD_2_ENCARGOS_BENEFICIOS+MOD_3_PROVISAO_RESCISAO)/DIVISOR_DE_HORAS)*((TEMPO_INTERVALO_REFEICAO/HORA_NORMAL)+PERC_HORA_EXTRA%)*DIAS_TRABALHADOS_NO_MES,0)</f>
        <v>0</v>
      </c>
    </row>
    <row r="80" spans="2:6" s="18" customFormat="1" x14ac:dyDescent="0.45">
      <c r="B80" s="141" t="s">
        <v>153</v>
      </c>
      <c r="C80" s="141"/>
      <c r="D80" s="141"/>
      <c r="E80" s="141"/>
      <c r="F80" s="98">
        <f>SUM(F79)</f>
        <v>0</v>
      </c>
    </row>
    <row r="81" spans="2:6" ht="7.5" customHeight="1" x14ac:dyDescent="0.45">
      <c r="B81" s="100"/>
      <c r="D81" s="36"/>
      <c r="E81" s="45"/>
      <c r="F81" s="45"/>
    </row>
    <row r="82" spans="2:6" x14ac:dyDescent="0.45">
      <c r="B82" s="44" t="s">
        <v>82</v>
      </c>
      <c r="C82" s="56"/>
      <c r="D82" s="56"/>
      <c r="E82" s="58"/>
      <c r="F82" s="58"/>
    </row>
    <row r="83" spans="2:6" ht="15.75" customHeight="1" x14ac:dyDescent="0.45">
      <c r="B83" s="59">
        <v>5</v>
      </c>
      <c r="C83" s="142" t="s">
        <v>83</v>
      </c>
      <c r="D83" s="142"/>
      <c r="E83" s="142"/>
      <c r="F83" s="60" t="s">
        <v>84</v>
      </c>
    </row>
    <row r="84" spans="2:6" ht="16.5" customHeight="1" x14ac:dyDescent="0.45">
      <c r="B84" s="61" t="s">
        <v>14</v>
      </c>
      <c r="C84" s="143" t="s">
        <v>85</v>
      </c>
      <c r="D84" s="143"/>
      <c r="E84" s="143"/>
      <c r="F84" s="102">
        <f>'INSERÇÃO-DE-DADOS'!F61</f>
        <v>121.16500000000002</v>
      </c>
    </row>
    <row r="85" spans="2:6" ht="16.5" customHeight="1" x14ac:dyDescent="0.45">
      <c r="B85" s="61" t="s">
        <v>16</v>
      </c>
      <c r="C85" s="144" t="s">
        <v>86</v>
      </c>
      <c r="D85" s="144"/>
      <c r="E85" s="144"/>
      <c r="F85" s="103">
        <f>'INSERÇÃO-DE-DADOS'!F62</f>
        <v>99.039166666666702</v>
      </c>
    </row>
    <row r="86" spans="2:6" ht="16.5" customHeight="1" x14ac:dyDescent="0.45">
      <c r="B86" s="61" t="s">
        <v>19</v>
      </c>
      <c r="C86" s="143" t="s">
        <v>214</v>
      </c>
      <c r="D86" s="143"/>
      <c r="E86" s="143"/>
      <c r="F86" s="102">
        <f>'INSERÇÃO-DE-DADOS'!F63</f>
        <v>153.43386666666666</v>
      </c>
    </row>
    <row r="87" spans="2:6" x14ac:dyDescent="0.45">
      <c r="B87" s="61" t="s">
        <v>22</v>
      </c>
      <c r="C87" s="164" t="s">
        <v>213</v>
      </c>
      <c r="D87" s="164"/>
      <c r="E87" s="164"/>
      <c r="F87" s="103">
        <f>'INSERÇÃO-DE-DADOS'!F64</f>
        <v>282.86527777777775</v>
      </c>
    </row>
    <row r="88" spans="2:6" ht="16.5" customHeight="1" x14ac:dyDescent="0.45">
      <c r="B88" s="142" t="s">
        <v>153</v>
      </c>
      <c r="C88" s="142"/>
      <c r="D88" s="142"/>
      <c r="E88" s="142"/>
      <c r="F88" s="104">
        <f>SUM(F84:F87)</f>
        <v>656.50331111111109</v>
      </c>
    </row>
    <row r="89" spans="2:6" ht="7.5" customHeight="1" x14ac:dyDescent="0.45">
      <c r="B89" s="100"/>
      <c r="D89" s="36"/>
      <c r="E89" s="45"/>
      <c r="F89" s="45"/>
    </row>
    <row r="90" spans="2:6" ht="15" customHeight="1" x14ac:dyDescent="0.45">
      <c r="B90" s="145" t="s">
        <v>87</v>
      </c>
      <c r="C90" s="145"/>
      <c r="D90" s="145"/>
      <c r="E90" s="145"/>
      <c r="F90" s="145"/>
    </row>
    <row r="91" spans="2:6" x14ac:dyDescent="0.45">
      <c r="B91" s="25">
        <v>6</v>
      </c>
      <c r="C91" s="141" t="s">
        <v>88</v>
      </c>
      <c r="D91" s="141"/>
      <c r="E91" s="46" t="s">
        <v>74</v>
      </c>
      <c r="F91" s="46" t="s">
        <v>84</v>
      </c>
    </row>
    <row r="92" spans="2:6" ht="16.5" customHeight="1" x14ac:dyDescent="0.45">
      <c r="B92" s="25" t="s">
        <v>14</v>
      </c>
      <c r="C92" s="146" t="s">
        <v>89</v>
      </c>
      <c r="D92" s="146"/>
      <c r="E92" s="105">
        <f>PERC_CUSTOS_INDIRETOS</f>
        <v>4.7300000000000004</v>
      </c>
      <c r="F92" s="76">
        <f>PERC_CUSTOS_INDIRETOS%*(MOD_1_REMUNERACAO+MOD_2_ENCARGOS_BENEFICIOS+MOD_3_PROVISAO_RESCISAO+MOD_4_CUSTO_REPOSICAO+MOD_5_INSUMOS)</f>
        <v>269.41895280470061</v>
      </c>
    </row>
    <row r="93" spans="2:6" ht="15.75" customHeight="1" x14ac:dyDescent="0.45">
      <c r="B93" s="46" t="s">
        <v>16</v>
      </c>
      <c r="C93" s="5" t="s">
        <v>90</v>
      </c>
      <c r="D93" s="5"/>
      <c r="E93" s="106">
        <f>PERC_LUCRO</f>
        <v>5.57</v>
      </c>
      <c r="F93" s="77">
        <f>PERC_LUCRO%*(MOD_1_REMUNERACAO+MOD_2_ENCARGOS_BENEFICIOS+MOD_3_PROVISAO_RESCISAO+MOD_4_CUSTO_REPOSICAO+MOD_5_INSUMOS+AL_6_A_CUSTOS_INDIRETOS)</f>
        <v>332.2716604327826</v>
      </c>
    </row>
    <row r="94" spans="2:6" ht="16.5" customHeight="1" x14ac:dyDescent="0.45">
      <c r="B94" s="46" t="s">
        <v>19</v>
      </c>
      <c r="C94" s="146" t="s">
        <v>191</v>
      </c>
      <c r="D94" s="146"/>
      <c r="E94" s="105">
        <f>SUM(E95:E97)</f>
        <v>8.65</v>
      </c>
      <c r="F94" s="76">
        <f>SUM(F95:F97)</f>
        <v>596.32934863903336</v>
      </c>
    </row>
    <row r="95" spans="2:6" ht="15.75" customHeight="1" x14ac:dyDescent="0.45">
      <c r="B95" s="67" t="s">
        <v>91</v>
      </c>
      <c r="C95" s="165" t="s">
        <v>92</v>
      </c>
      <c r="D95" s="165"/>
      <c r="E95" s="107">
        <f>PERC_PIS</f>
        <v>0.65</v>
      </c>
      <c r="F95" s="108">
        <f>((MOD_1_REMUNERACAO+MOD_2_ENCARGOS_BENEFICIOS+MOD_3_PROVISAO_RESCISAO+MOD_4_CUSTO_REPOSICAO+MOD_5_INSUMOS+AL_6_A_CUSTOS_INDIRETOS+AL_6_B_LUCRO)*PERC_PIS%)/(1-PERC_TRIBUTOS%)</f>
        <v>44.810875909291525</v>
      </c>
    </row>
    <row r="96" spans="2:6" ht="16.5" customHeight="1" x14ac:dyDescent="0.45">
      <c r="B96" s="67" t="s">
        <v>93</v>
      </c>
      <c r="C96" s="166" t="s">
        <v>94</v>
      </c>
      <c r="D96" s="166"/>
      <c r="E96" s="109">
        <f>PERC_COFINS</f>
        <v>3</v>
      </c>
      <c r="F96" s="110">
        <f>((MOD_1_REMUNERACAO+MOD_2_ENCARGOS_BENEFICIOS+MOD_3_PROVISAO_RESCISAO+MOD_4_CUSTO_REPOSICAO+MOD_5_INSUMOS+AL_6_A_CUSTOS_INDIRETOS+AL_6_B_LUCRO)*PERC_COFINS%)/(1-PERC_TRIBUTOS%)</f>
        <v>206.81942727365316</v>
      </c>
    </row>
    <row r="97" spans="2:6" s="63" customFormat="1" ht="16.5" customHeight="1" x14ac:dyDescent="0.45">
      <c r="B97" s="67" t="s">
        <v>95</v>
      </c>
      <c r="C97" s="165" t="s">
        <v>96</v>
      </c>
      <c r="D97" s="165"/>
      <c r="E97" s="107">
        <f>PERC_ISS</f>
        <v>5</v>
      </c>
      <c r="F97" s="108">
        <f>((MOD_1_REMUNERACAO+MOD_2_ENCARGOS_BENEFICIOS+MOD_3_PROVISAO_RESCISAO+MOD_4_CUSTO_REPOSICAO+MOD_5_INSUMOS+AL_6_A_CUSTOS_INDIRETOS+AL_6_B_LUCRO)*PERC_ISS%)/(1-PERC_TRIBUTOS%)</f>
        <v>344.69904545608864</v>
      </c>
    </row>
    <row r="98" spans="2:6" s="63" customFormat="1" x14ac:dyDescent="0.45">
      <c r="B98" s="141" t="s">
        <v>153</v>
      </c>
      <c r="C98" s="141"/>
      <c r="D98" s="141"/>
      <c r="E98" s="141"/>
      <c r="F98" s="111">
        <f>AL_6_A_CUSTOS_INDIRETOS+AL_6_B_LUCRO+AL_6_C_TRIBUTOS</f>
        <v>1198.0199618765164</v>
      </c>
    </row>
    <row r="99" spans="2:6" s="63" customFormat="1" ht="21" x14ac:dyDescent="0.45">
      <c r="B99" s="112" t="s">
        <v>192</v>
      </c>
      <c r="C99" s="113"/>
      <c r="D99" s="113"/>
      <c r="E99" s="113"/>
      <c r="F99" s="114"/>
    </row>
    <row r="100" spans="2:6" s="64" customFormat="1" ht="16.5" customHeight="1" x14ac:dyDescent="0.45">
      <c r="B100" s="46" t="s">
        <v>193</v>
      </c>
      <c r="C100" s="3" t="s">
        <v>194</v>
      </c>
      <c r="D100" s="3"/>
      <c r="E100" s="3"/>
      <c r="F100" s="46" t="s">
        <v>195</v>
      </c>
    </row>
    <row r="101" spans="2:6" s="63" customFormat="1" ht="16.5" customHeight="1" x14ac:dyDescent="0.45">
      <c r="B101" s="25">
        <v>1</v>
      </c>
      <c r="C101" s="146" t="s">
        <v>44</v>
      </c>
      <c r="D101" s="146"/>
      <c r="E101" s="146"/>
      <c r="F101" s="76">
        <f>MOD_1_REMUNERACAO</f>
        <v>2537.0500000000002</v>
      </c>
    </row>
    <row r="102" spans="2:6" s="65" customFormat="1" ht="16.5" customHeight="1" x14ac:dyDescent="0.45">
      <c r="B102" s="46">
        <v>2</v>
      </c>
      <c r="C102" s="5" t="s">
        <v>196</v>
      </c>
      <c r="D102" s="5"/>
      <c r="E102" s="5"/>
      <c r="F102" s="77">
        <f>MOD_2_ENCARGOS_BENEFICIOS</f>
        <v>1944.633</v>
      </c>
    </row>
    <row r="103" spans="2:6" s="65" customFormat="1" ht="16.5" customHeight="1" x14ac:dyDescent="0.45">
      <c r="B103" s="46">
        <v>3</v>
      </c>
      <c r="C103" s="146" t="s">
        <v>114</v>
      </c>
      <c r="D103" s="146"/>
      <c r="E103" s="146"/>
      <c r="F103" s="76">
        <f>MOD_3_PROVISAO_RESCISAO</f>
        <v>68.498673422369009</v>
      </c>
    </row>
    <row r="104" spans="2:6" s="65" customFormat="1" ht="16.5" customHeight="1" x14ac:dyDescent="0.45">
      <c r="B104" s="46">
        <v>4</v>
      </c>
      <c r="C104" s="5" t="s">
        <v>197</v>
      </c>
      <c r="D104" s="5"/>
      <c r="E104" s="5"/>
      <c r="F104" s="77">
        <f>MOD_4_CUSTO_REPOSICAO</f>
        <v>489.27596271177487</v>
      </c>
    </row>
    <row r="105" spans="2:6" s="65" customFormat="1" ht="16.5" customHeight="1" x14ac:dyDescent="0.45">
      <c r="B105" s="46">
        <v>5</v>
      </c>
      <c r="C105" s="146" t="s">
        <v>83</v>
      </c>
      <c r="D105" s="146"/>
      <c r="E105" s="146"/>
      <c r="F105" s="76">
        <f>MOD_5_INSUMOS</f>
        <v>656.50331111111109</v>
      </c>
    </row>
    <row r="106" spans="2:6" s="65" customFormat="1" ht="16.5" customHeight="1" x14ac:dyDescent="0.45">
      <c r="B106" s="46">
        <v>6</v>
      </c>
      <c r="C106" s="5" t="s">
        <v>88</v>
      </c>
      <c r="D106" s="5"/>
      <c r="E106" s="5"/>
      <c r="F106" s="77">
        <f>MOD_6_CUSTOS_IND_LUCRO_TRIB</f>
        <v>1198.0199618765164</v>
      </c>
    </row>
    <row r="107" spans="2:6" ht="16.5" customHeight="1" x14ac:dyDescent="0.45">
      <c r="B107" s="3" t="s">
        <v>198</v>
      </c>
      <c r="C107" s="3"/>
      <c r="D107" s="3"/>
      <c r="E107" s="3"/>
      <c r="F107" s="111">
        <f>SUM(F101:F106)</f>
        <v>6893.9809091217721</v>
      </c>
    </row>
    <row r="108" spans="2:6" ht="16.5" customHeight="1" x14ac:dyDescent="0.45">
      <c r="B108" s="3" t="s">
        <v>199</v>
      </c>
      <c r="C108" s="3"/>
      <c r="D108" s="3"/>
      <c r="E108" s="3"/>
      <c r="F108" s="111">
        <f>VALOR_TOTAL_EMPREGADO*EMPREG_POR_POSTO</f>
        <v>6893.9809091217721</v>
      </c>
    </row>
    <row r="109" spans="2:6" ht="16.5" customHeight="1" x14ac:dyDescent="0.45">
      <c r="B109" s="3" t="s">
        <v>200</v>
      </c>
      <c r="C109" s="3"/>
      <c r="D109" s="3"/>
      <c r="E109" s="3"/>
      <c r="F109" s="111">
        <f>VALOR_TOTAL_EMPREGADO*EMPREG_POR_POSTO*QTDE_POSTOS</f>
        <v>6893.9809091217721</v>
      </c>
    </row>
  </sheetData>
  <mergeCells count="98">
    <mergeCell ref="B108:E108"/>
    <mergeCell ref="B109:E109"/>
    <mergeCell ref="C103:E103"/>
    <mergeCell ref="C104:E104"/>
    <mergeCell ref="C105:E105"/>
    <mergeCell ref="C106:E106"/>
    <mergeCell ref="B107:E107"/>
    <mergeCell ref="C97:D97"/>
    <mergeCell ref="B98:E98"/>
    <mergeCell ref="C100:E100"/>
    <mergeCell ref="C101:E101"/>
    <mergeCell ref="C102:E102"/>
    <mergeCell ref="C92:D92"/>
    <mergeCell ref="C93:D93"/>
    <mergeCell ref="C94:D94"/>
    <mergeCell ref="C95:D95"/>
    <mergeCell ref="C96:D96"/>
    <mergeCell ref="C86:E86"/>
    <mergeCell ref="C87:E87"/>
    <mergeCell ref="B88:E88"/>
    <mergeCell ref="B90:F90"/>
    <mergeCell ref="C91:D91"/>
    <mergeCell ref="C79:E79"/>
    <mergeCell ref="B80:E80"/>
    <mergeCell ref="C83:E83"/>
    <mergeCell ref="C84:E84"/>
    <mergeCell ref="C85:E85"/>
    <mergeCell ref="C73:D73"/>
    <mergeCell ref="C74:D74"/>
    <mergeCell ref="C75:D75"/>
    <mergeCell ref="B76:E76"/>
    <mergeCell ref="C78:E78"/>
    <mergeCell ref="B65:E65"/>
    <mergeCell ref="C69:D69"/>
    <mergeCell ref="C70:D70"/>
    <mergeCell ref="C71:D71"/>
    <mergeCell ref="C72:D72"/>
    <mergeCell ref="C60:D60"/>
    <mergeCell ref="C61:D61"/>
    <mergeCell ref="C62:D62"/>
    <mergeCell ref="C63:D63"/>
    <mergeCell ref="C64:D64"/>
    <mergeCell ref="C54:E54"/>
    <mergeCell ref="C55:E55"/>
    <mergeCell ref="B56:E56"/>
    <mergeCell ref="C58:D58"/>
    <mergeCell ref="C59:D59"/>
    <mergeCell ref="C49:E49"/>
    <mergeCell ref="C50:E50"/>
    <mergeCell ref="C51:E51"/>
    <mergeCell ref="C52:E52"/>
    <mergeCell ref="C53:E53"/>
    <mergeCell ref="C43:D43"/>
    <mergeCell ref="C44:D44"/>
    <mergeCell ref="C45:D45"/>
    <mergeCell ref="C46:D46"/>
    <mergeCell ref="B47:E47"/>
    <mergeCell ref="C38:D38"/>
    <mergeCell ref="C39:D39"/>
    <mergeCell ref="C40:D40"/>
    <mergeCell ref="C41:D41"/>
    <mergeCell ref="C42:D42"/>
    <mergeCell ref="C33:D33"/>
    <mergeCell ref="C34:D34"/>
    <mergeCell ref="C35:D35"/>
    <mergeCell ref="B36:E36"/>
    <mergeCell ref="B37:F37"/>
    <mergeCell ref="C26:E26"/>
    <mergeCell ref="C27:E27"/>
    <mergeCell ref="C28:E28"/>
    <mergeCell ref="C29:E29"/>
    <mergeCell ref="B30:E30"/>
    <mergeCell ref="C21:E21"/>
    <mergeCell ref="C22:E22"/>
    <mergeCell ref="C23:E23"/>
    <mergeCell ref="C24:E24"/>
    <mergeCell ref="C25:E25"/>
    <mergeCell ref="D15:F15"/>
    <mergeCell ref="D16:F16"/>
    <mergeCell ref="C17:E17"/>
    <mergeCell ref="B18:F18"/>
    <mergeCell ref="B19:E19"/>
    <mergeCell ref="C10:E10"/>
    <mergeCell ref="C11:E11"/>
    <mergeCell ref="C12:E12"/>
    <mergeCell ref="C14:D14"/>
    <mergeCell ref="E14:F14"/>
    <mergeCell ref="B6:C6"/>
    <mergeCell ref="D6:E6"/>
    <mergeCell ref="B7:F7"/>
    <mergeCell ref="C8:E8"/>
    <mergeCell ref="D9:F9"/>
    <mergeCell ref="B1:F1"/>
    <mergeCell ref="B2:D2"/>
    <mergeCell ref="B3:F3"/>
    <mergeCell ref="B4:F4"/>
    <mergeCell ref="B5:C5"/>
    <mergeCell ref="D5:F5"/>
  </mergeCells>
  <printOptions horizontalCentered="1"/>
  <pageMargins left="7.9861111111111105E-2" right="0.05" top="0.196527777777778" bottom="0.15763888888888899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3:G28"/>
  <sheetViews>
    <sheetView zoomScaleNormal="100" workbookViewId="0">
      <selection activeCell="C4" sqref="C4"/>
    </sheetView>
  </sheetViews>
  <sheetFormatPr defaultRowHeight="12.5" x14ac:dyDescent="0.25"/>
  <cols>
    <col min="1" max="3" width="11.54296875"/>
    <col min="4" max="4" width="50" customWidth="1"/>
    <col min="5" max="1019" width="11.54296875"/>
  </cols>
  <sheetData>
    <row r="3" spans="3:7" ht="16.5" x14ac:dyDescent="0.45">
      <c r="C3" s="115" t="s">
        <v>220</v>
      </c>
    </row>
    <row r="5" spans="3:7" ht="16.5" x14ac:dyDescent="0.45">
      <c r="C5" s="116" t="s">
        <v>201</v>
      </c>
      <c r="D5" s="116" t="s">
        <v>202</v>
      </c>
      <c r="E5" s="116" t="s">
        <v>203</v>
      </c>
      <c r="F5" s="116" t="s">
        <v>204</v>
      </c>
      <c r="G5" s="116" t="s">
        <v>205</v>
      </c>
    </row>
    <row r="6" spans="3:7" ht="59" customHeight="1" x14ac:dyDescent="0.45">
      <c r="C6" s="23">
        <v>1</v>
      </c>
      <c r="D6" s="117" t="s">
        <v>215</v>
      </c>
      <c r="E6" s="118">
        <v>5</v>
      </c>
      <c r="F6" s="119">
        <v>40.99</v>
      </c>
      <c r="G6" s="119">
        <f t="shared" ref="G6:G10" si="0">E6*F6</f>
        <v>204.95000000000002</v>
      </c>
    </row>
    <row r="7" spans="3:7" ht="32.5" customHeight="1" x14ac:dyDescent="0.45">
      <c r="C7" s="23">
        <v>2</v>
      </c>
      <c r="D7" s="120" t="s">
        <v>216</v>
      </c>
      <c r="E7" s="121">
        <v>4</v>
      </c>
      <c r="F7" s="122">
        <v>54</v>
      </c>
      <c r="G7" s="122">
        <f t="shared" si="0"/>
        <v>216</v>
      </c>
    </row>
    <row r="8" spans="3:7" ht="49" customHeight="1" x14ac:dyDescent="0.45">
      <c r="C8" s="23">
        <v>3</v>
      </c>
      <c r="D8" s="123" t="s">
        <v>217</v>
      </c>
      <c r="E8" s="118">
        <v>1</v>
      </c>
      <c r="F8" s="119">
        <v>46.97</v>
      </c>
      <c r="G8" s="119">
        <f t="shared" si="0"/>
        <v>46.97</v>
      </c>
    </row>
    <row r="9" spans="3:7" ht="43" customHeight="1" x14ac:dyDescent="0.45">
      <c r="C9" s="23">
        <v>4</v>
      </c>
      <c r="D9" s="124" t="s">
        <v>218</v>
      </c>
      <c r="E9" s="121">
        <v>5</v>
      </c>
      <c r="F9" s="122">
        <v>40</v>
      </c>
      <c r="G9" s="122">
        <f t="shared" si="0"/>
        <v>200</v>
      </c>
    </row>
    <row r="10" spans="3:7" ht="35.5" customHeight="1" x14ac:dyDescent="0.45">
      <c r="C10" s="23">
        <v>5</v>
      </c>
      <c r="D10" s="123" t="s">
        <v>219</v>
      </c>
      <c r="E10" s="118">
        <v>1</v>
      </c>
      <c r="F10" s="119">
        <v>59.07</v>
      </c>
      <c r="G10" s="119">
        <f t="shared" si="0"/>
        <v>59.07</v>
      </c>
    </row>
    <row r="11" spans="3:7" ht="16.5" x14ac:dyDescent="0.45">
      <c r="C11" s="3" t="s">
        <v>206</v>
      </c>
      <c r="D11" s="3"/>
      <c r="E11" s="3"/>
      <c r="F11" s="3"/>
      <c r="G11" s="125">
        <f>SUM(G6:G10)</f>
        <v>726.99000000000012</v>
      </c>
    </row>
    <row r="12" spans="3:7" ht="16.399999999999999" customHeight="1" x14ac:dyDescent="0.45">
      <c r="C12" s="3" t="s">
        <v>207</v>
      </c>
      <c r="D12" s="3"/>
      <c r="E12" s="3"/>
      <c r="F12" s="3"/>
      <c r="G12" s="125">
        <f>G11/6</f>
        <v>121.16500000000002</v>
      </c>
    </row>
    <row r="13" spans="3:7" ht="16.399999999999999" customHeight="1" x14ac:dyDescent="0.25"/>
    <row r="27" ht="16.399999999999999" customHeight="1" x14ac:dyDescent="0.25"/>
    <row r="28" ht="16.399999999999999" customHeight="1" x14ac:dyDescent="0.45"/>
  </sheetData>
  <mergeCells count="2">
    <mergeCell ref="C11:F11"/>
    <mergeCell ref="C12:F12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4:F57"/>
  <sheetViews>
    <sheetView topLeftCell="A46" zoomScaleNormal="100" workbookViewId="0">
      <selection activeCell="H7" sqref="H7"/>
    </sheetView>
  </sheetViews>
  <sheetFormatPr defaultRowHeight="12.5" x14ac:dyDescent="0.25"/>
  <cols>
    <col min="1" max="2" width="11.54296875"/>
    <col min="3" max="3" width="80.54296875" customWidth="1"/>
    <col min="4" max="1017" width="11.54296875"/>
  </cols>
  <sheetData>
    <row r="4" spans="2:6" ht="16.5" x14ac:dyDescent="0.45">
      <c r="B4" s="115" t="s">
        <v>221</v>
      </c>
    </row>
    <row r="6" spans="2:6" ht="33" x14ac:dyDescent="0.25">
      <c r="B6" s="126" t="s">
        <v>201</v>
      </c>
      <c r="C6" s="126" t="s">
        <v>202</v>
      </c>
      <c r="D6" s="126" t="s">
        <v>203</v>
      </c>
      <c r="E6" s="126" t="s">
        <v>204</v>
      </c>
      <c r="F6" s="126" t="s">
        <v>208</v>
      </c>
    </row>
    <row r="7" spans="2:6" ht="16.5" x14ac:dyDescent="0.45">
      <c r="B7" s="23">
        <v>1</v>
      </c>
      <c r="C7" s="127" t="s">
        <v>222</v>
      </c>
      <c r="D7" s="118">
        <v>12</v>
      </c>
      <c r="E7" s="128">
        <v>28.31</v>
      </c>
      <c r="F7" s="128">
        <f t="shared" ref="F7:F54" si="0">D7*E7</f>
        <v>339.71999999999997</v>
      </c>
    </row>
    <row r="8" spans="2:6" ht="16.5" x14ac:dyDescent="0.45">
      <c r="B8" s="23">
        <v>2</v>
      </c>
      <c r="C8" s="130" t="s">
        <v>223</v>
      </c>
      <c r="D8" s="121">
        <v>12</v>
      </c>
      <c r="E8" s="131">
        <v>3.55</v>
      </c>
      <c r="F8" s="131">
        <f t="shared" si="0"/>
        <v>42.599999999999994</v>
      </c>
    </row>
    <row r="9" spans="2:6" ht="16.5" x14ac:dyDescent="0.45">
      <c r="B9" s="23">
        <v>3</v>
      </c>
      <c r="C9" s="127" t="s">
        <v>224</v>
      </c>
      <c r="D9" s="118">
        <v>1</v>
      </c>
      <c r="E9" s="128">
        <v>233.74</v>
      </c>
      <c r="F9" s="128">
        <f t="shared" si="0"/>
        <v>233.74</v>
      </c>
    </row>
    <row r="10" spans="2:6" ht="16.5" x14ac:dyDescent="0.45">
      <c r="B10" s="23">
        <v>4</v>
      </c>
      <c r="C10" s="130" t="s">
        <v>225</v>
      </c>
      <c r="D10" s="121">
        <v>4</v>
      </c>
      <c r="E10" s="131">
        <v>29.13</v>
      </c>
      <c r="F10" s="131">
        <f t="shared" si="0"/>
        <v>116.52</v>
      </c>
    </row>
    <row r="11" spans="2:6" ht="16.5" x14ac:dyDescent="0.45">
      <c r="B11" s="23">
        <v>5</v>
      </c>
      <c r="C11" s="127" t="s">
        <v>226</v>
      </c>
      <c r="D11" s="118">
        <v>12</v>
      </c>
      <c r="E11" s="128">
        <v>23.89</v>
      </c>
      <c r="F11" s="128">
        <f t="shared" si="0"/>
        <v>286.68</v>
      </c>
    </row>
    <row r="12" spans="2:6" ht="16.5" x14ac:dyDescent="0.45">
      <c r="B12" s="23">
        <v>6</v>
      </c>
      <c r="C12" s="130" t="s">
        <v>227</v>
      </c>
      <c r="D12" s="121">
        <v>12</v>
      </c>
      <c r="E12" s="131">
        <v>2.95</v>
      </c>
      <c r="F12" s="131">
        <f t="shared" si="0"/>
        <v>35.400000000000006</v>
      </c>
    </row>
    <row r="13" spans="2:6" ht="16.5" x14ac:dyDescent="0.45">
      <c r="B13" s="23">
        <v>7</v>
      </c>
      <c r="C13" s="127" t="s">
        <v>228</v>
      </c>
      <c r="D13" s="118">
        <v>12</v>
      </c>
      <c r="E13" s="128">
        <v>26.77</v>
      </c>
      <c r="F13" s="128">
        <f t="shared" si="0"/>
        <v>321.24</v>
      </c>
    </row>
    <row r="14" spans="2:6" ht="16.5" x14ac:dyDescent="0.45">
      <c r="B14" s="23">
        <v>8</v>
      </c>
      <c r="C14" s="130" t="s">
        <v>229</v>
      </c>
      <c r="D14" s="133">
        <v>6</v>
      </c>
      <c r="E14" s="134">
        <v>27.02</v>
      </c>
      <c r="F14" s="131">
        <f t="shared" si="0"/>
        <v>162.12</v>
      </c>
    </row>
    <row r="15" spans="2:6" ht="16.5" x14ac:dyDescent="0.45">
      <c r="B15" s="23">
        <v>9</v>
      </c>
      <c r="C15" s="127" t="s">
        <v>230</v>
      </c>
      <c r="D15" s="136">
        <v>3</v>
      </c>
      <c r="E15" s="137">
        <v>36.75</v>
      </c>
      <c r="F15" s="128">
        <f t="shared" si="0"/>
        <v>110.25</v>
      </c>
    </row>
    <row r="16" spans="2:6" ht="16.5" x14ac:dyDescent="0.45">
      <c r="B16" s="23">
        <v>10</v>
      </c>
      <c r="C16" s="130" t="s">
        <v>231</v>
      </c>
      <c r="D16" s="133">
        <v>8</v>
      </c>
      <c r="E16" s="134">
        <v>5.0599999999999996</v>
      </c>
      <c r="F16" s="131">
        <f t="shared" si="0"/>
        <v>40.479999999999997</v>
      </c>
    </row>
    <row r="17" spans="2:6" ht="16.5" x14ac:dyDescent="0.45">
      <c r="B17" s="23">
        <v>11</v>
      </c>
      <c r="C17" s="127" t="s">
        <v>232</v>
      </c>
      <c r="D17" s="136">
        <v>8</v>
      </c>
      <c r="E17" s="137">
        <v>4.05</v>
      </c>
      <c r="F17" s="128">
        <f t="shared" si="0"/>
        <v>32.4</v>
      </c>
    </row>
    <row r="18" spans="2:6" ht="16.5" x14ac:dyDescent="0.45">
      <c r="B18" s="23">
        <v>12</v>
      </c>
      <c r="C18" s="130" t="s">
        <v>233</v>
      </c>
      <c r="D18" s="133">
        <v>8</v>
      </c>
      <c r="E18" s="134">
        <v>22.62</v>
      </c>
      <c r="F18" s="131">
        <f t="shared" si="0"/>
        <v>180.96</v>
      </c>
    </row>
    <row r="19" spans="2:6" ht="16.5" x14ac:dyDescent="0.45">
      <c r="B19" s="23">
        <v>13</v>
      </c>
      <c r="C19" s="127" t="s">
        <v>234</v>
      </c>
      <c r="D19" s="136">
        <v>2</v>
      </c>
      <c r="E19" s="137">
        <v>13.69</v>
      </c>
      <c r="F19" s="128">
        <f t="shared" si="0"/>
        <v>27.38</v>
      </c>
    </row>
    <row r="20" spans="2:6" ht="16.5" x14ac:dyDescent="0.45">
      <c r="B20" s="23">
        <v>14</v>
      </c>
      <c r="C20" s="130" t="s">
        <v>235</v>
      </c>
      <c r="D20" s="133">
        <v>2</v>
      </c>
      <c r="E20" s="134">
        <v>6.28</v>
      </c>
      <c r="F20" s="131">
        <f t="shared" si="0"/>
        <v>12.56</v>
      </c>
    </row>
    <row r="21" spans="2:6" ht="16.399999999999999" customHeight="1" x14ac:dyDescent="0.45">
      <c r="B21" s="23">
        <v>15</v>
      </c>
      <c r="C21" s="127" t="s">
        <v>236</v>
      </c>
      <c r="D21" s="118">
        <v>2</v>
      </c>
      <c r="E21" s="128">
        <v>6</v>
      </c>
      <c r="F21" s="128">
        <f t="shared" si="0"/>
        <v>12</v>
      </c>
    </row>
    <row r="22" spans="2:6" ht="16.399999999999999" customHeight="1" x14ac:dyDescent="0.45">
      <c r="B22" s="23">
        <v>16</v>
      </c>
      <c r="C22" s="130" t="s">
        <v>237</v>
      </c>
      <c r="D22" s="121">
        <v>2</v>
      </c>
      <c r="E22" s="131">
        <v>8.6300000000000008</v>
      </c>
      <c r="F22" s="131">
        <f t="shared" si="0"/>
        <v>17.260000000000002</v>
      </c>
    </row>
    <row r="23" spans="2:6" ht="16.399999999999999" customHeight="1" x14ac:dyDescent="0.45">
      <c r="B23" s="23">
        <v>17</v>
      </c>
      <c r="C23" s="127" t="s">
        <v>238</v>
      </c>
      <c r="D23" s="118">
        <v>2</v>
      </c>
      <c r="E23" s="128">
        <v>9.35</v>
      </c>
      <c r="F23" s="128">
        <f t="shared" si="0"/>
        <v>18.7</v>
      </c>
    </row>
    <row r="24" spans="2:6" ht="16.5" x14ac:dyDescent="0.45">
      <c r="B24" s="23">
        <v>18</v>
      </c>
      <c r="C24" s="130" t="s">
        <v>239</v>
      </c>
      <c r="D24" s="121">
        <v>2</v>
      </c>
      <c r="E24" s="131">
        <v>10.99</v>
      </c>
      <c r="F24" s="131">
        <f t="shared" si="0"/>
        <v>21.98</v>
      </c>
    </row>
    <row r="25" spans="2:6" ht="16.5" x14ac:dyDescent="0.45">
      <c r="B25" s="23">
        <v>19</v>
      </c>
      <c r="C25" s="127" t="s">
        <v>240</v>
      </c>
      <c r="D25" s="118">
        <v>2</v>
      </c>
      <c r="E25" s="128">
        <v>0.59</v>
      </c>
      <c r="F25" s="128">
        <f t="shared" si="0"/>
        <v>1.18</v>
      </c>
    </row>
    <row r="26" spans="2:6" ht="16.5" x14ac:dyDescent="0.45">
      <c r="B26" s="23">
        <v>20</v>
      </c>
      <c r="C26" s="130" t="s">
        <v>241</v>
      </c>
      <c r="D26" s="121">
        <v>2</v>
      </c>
      <c r="E26" s="131">
        <v>0.78</v>
      </c>
      <c r="F26" s="131">
        <f t="shared" si="0"/>
        <v>1.56</v>
      </c>
    </row>
    <row r="27" spans="2:6" ht="16.5" x14ac:dyDescent="0.45">
      <c r="B27" s="23">
        <v>21</v>
      </c>
      <c r="C27" s="127" t="s">
        <v>242</v>
      </c>
      <c r="D27" s="118">
        <v>2</v>
      </c>
      <c r="E27" s="128">
        <v>0.99</v>
      </c>
      <c r="F27" s="128">
        <f t="shared" si="0"/>
        <v>1.98</v>
      </c>
    </row>
    <row r="28" spans="2:6" ht="16.5" x14ac:dyDescent="0.45">
      <c r="B28" s="23">
        <v>22</v>
      </c>
      <c r="C28" s="130" t="s">
        <v>243</v>
      </c>
      <c r="D28" s="133">
        <v>8</v>
      </c>
      <c r="E28" s="134">
        <v>1.74</v>
      </c>
      <c r="F28" s="131">
        <f t="shared" si="0"/>
        <v>13.92</v>
      </c>
    </row>
    <row r="29" spans="2:6" ht="16.5" x14ac:dyDescent="0.45">
      <c r="B29" s="23">
        <v>23</v>
      </c>
      <c r="C29" s="127" t="s">
        <v>244</v>
      </c>
      <c r="D29" s="136">
        <v>10</v>
      </c>
      <c r="E29" s="137">
        <v>2.76</v>
      </c>
      <c r="F29" s="128">
        <f t="shared" si="0"/>
        <v>27.599999999999998</v>
      </c>
    </row>
    <row r="30" spans="2:6" ht="16.5" x14ac:dyDescent="0.45">
      <c r="B30" s="23">
        <v>24</v>
      </c>
      <c r="C30" s="130" t="s">
        <v>245</v>
      </c>
      <c r="D30" s="133">
        <v>1</v>
      </c>
      <c r="E30" s="134">
        <v>114.01</v>
      </c>
      <c r="F30" s="131">
        <f t="shared" si="0"/>
        <v>114.01</v>
      </c>
    </row>
    <row r="31" spans="2:6" ht="16.5" x14ac:dyDescent="0.45">
      <c r="B31" s="23">
        <v>25</v>
      </c>
      <c r="C31" s="127" t="s">
        <v>246</v>
      </c>
      <c r="D31" s="118">
        <v>5</v>
      </c>
      <c r="E31" s="128">
        <v>4.04</v>
      </c>
      <c r="F31" s="128">
        <f t="shared" si="0"/>
        <v>20.2</v>
      </c>
    </row>
    <row r="32" spans="2:6" ht="16.5" x14ac:dyDescent="0.45">
      <c r="B32" s="23">
        <v>26</v>
      </c>
      <c r="C32" s="130" t="s">
        <v>247</v>
      </c>
      <c r="D32" s="121">
        <v>3</v>
      </c>
      <c r="E32" s="131">
        <v>27.33</v>
      </c>
      <c r="F32" s="131">
        <f t="shared" si="0"/>
        <v>81.99</v>
      </c>
    </row>
    <row r="33" spans="2:6" ht="16.5" x14ac:dyDescent="0.45">
      <c r="B33" s="23">
        <v>27</v>
      </c>
      <c r="C33" s="127" t="s">
        <v>248</v>
      </c>
      <c r="D33" s="118">
        <v>3</v>
      </c>
      <c r="E33" s="128">
        <v>22.44</v>
      </c>
      <c r="F33" s="128">
        <f t="shared" si="0"/>
        <v>67.320000000000007</v>
      </c>
    </row>
    <row r="34" spans="2:6" ht="16.5" x14ac:dyDescent="0.45">
      <c r="B34" s="23">
        <v>28</v>
      </c>
      <c r="C34" s="130" t="s">
        <v>249</v>
      </c>
      <c r="D34" s="121">
        <v>12</v>
      </c>
      <c r="E34" s="131">
        <v>5.08</v>
      </c>
      <c r="F34" s="131">
        <f t="shared" si="0"/>
        <v>60.96</v>
      </c>
    </row>
    <row r="35" spans="2:6" ht="16.399999999999999" customHeight="1" x14ac:dyDescent="0.45">
      <c r="B35" s="23">
        <v>29</v>
      </c>
      <c r="C35" s="127" t="s">
        <v>250</v>
      </c>
      <c r="D35" s="118">
        <v>2</v>
      </c>
      <c r="E35" s="128">
        <v>67.48</v>
      </c>
      <c r="F35" s="128">
        <f t="shared" si="0"/>
        <v>134.96</v>
      </c>
    </row>
    <row r="36" spans="2:6" ht="16.399999999999999" customHeight="1" x14ac:dyDescent="0.45">
      <c r="B36" s="23">
        <v>30</v>
      </c>
      <c r="C36" s="130" t="s">
        <v>251</v>
      </c>
      <c r="D36" s="121">
        <v>5</v>
      </c>
      <c r="E36" s="131">
        <v>2.2999999999999998</v>
      </c>
      <c r="F36" s="131">
        <f t="shared" si="0"/>
        <v>11.5</v>
      </c>
    </row>
    <row r="37" spans="2:6" ht="16.399999999999999" customHeight="1" x14ac:dyDescent="0.45">
      <c r="B37" s="23">
        <v>31</v>
      </c>
      <c r="C37" s="127" t="s">
        <v>252</v>
      </c>
      <c r="D37" s="118">
        <v>1</v>
      </c>
      <c r="E37" s="128">
        <v>25</v>
      </c>
      <c r="F37" s="128">
        <f t="shared" si="0"/>
        <v>25</v>
      </c>
    </row>
    <row r="38" spans="2:6" ht="16.5" x14ac:dyDescent="0.45">
      <c r="B38" s="23">
        <v>32</v>
      </c>
      <c r="C38" s="130" t="s">
        <v>253</v>
      </c>
      <c r="D38" s="133">
        <v>5</v>
      </c>
      <c r="E38" s="134">
        <v>17.329999999999998</v>
      </c>
      <c r="F38" s="131">
        <f t="shared" si="0"/>
        <v>86.649999999999991</v>
      </c>
    </row>
    <row r="39" spans="2:6" ht="16.5" x14ac:dyDescent="0.45">
      <c r="B39" s="23">
        <v>33</v>
      </c>
      <c r="C39" s="127" t="s">
        <v>254</v>
      </c>
      <c r="D39" s="136">
        <v>2</v>
      </c>
      <c r="E39" s="137">
        <v>12.55</v>
      </c>
      <c r="F39" s="128">
        <f t="shared" si="0"/>
        <v>25.1</v>
      </c>
    </row>
    <row r="40" spans="2:6" ht="16.5" x14ac:dyDescent="0.45">
      <c r="B40" s="23">
        <v>34</v>
      </c>
      <c r="C40" s="130" t="s">
        <v>255</v>
      </c>
      <c r="D40" s="133">
        <v>1</v>
      </c>
      <c r="E40" s="134">
        <v>100</v>
      </c>
      <c r="F40" s="131">
        <f t="shared" si="0"/>
        <v>100</v>
      </c>
    </row>
    <row r="41" spans="2:6" ht="16.5" x14ac:dyDescent="0.45">
      <c r="B41" s="23">
        <v>35</v>
      </c>
      <c r="C41" s="127" t="s">
        <v>256</v>
      </c>
      <c r="D41" s="118">
        <v>2</v>
      </c>
      <c r="E41" s="128">
        <v>16.850000000000001</v>
      </c>
      <c r="F41" s="128">
        <f t="shared" si="0"/>
        <v>33.700000000000003</v>
      </c>
    </row>
    <row r="42" spans="2:6" ht="16.5" x14ac:dyDescent="0.45">
      <c r="B42" s="23">
        <v>36</v>
      </c>
      <c r="C42" s="130" t="s">
        <v>257</v>
      </c>
      <c r="D42" s="121">
        <v>6</v>
      </c>
      <c r="E42" s="131">
        <v>10.47</v>
      </c>
      <c r="F42" s="131">
        <f t="shared" si="0"/>
        <v>62.820000000000007</v>
      </c>
    </row>
    <row r="43" spans="2:6" ht="16.5" x14ac:dyDescent="0.45">
      <c r="B43" s="23">
        <v>37</v>
      </c>
      <c r="C43" s="127" t="s">
        <v>258</v>
      </c>
      <c r="D43" s="118">
        <v>6</v>
      </c>
      <c r="E43" s="128">
        <v>9.17</v>
      </c>
      <c r="F43" s="128">
        <f t="shared" si="0"/>
        <v>55.019999999999996</v>
      </c>
    </row>
    <row r="44" spans="2:6" ht="16.5" x14ac:dyDescent="0.45">
      <c r="B44" s="23">
        <v>38</v>
      </c>
      <c r="C44" s="130" t="s">
        <v>259</v>
      </c>
      <c r="D44" s="121">
        <v>20</v>
      </c>
      <c r="E44" s="131">
        <v>7.42</v>
      </c>
      <c r="F44" s="131">
        <f t="shared" si="0"/>
        <v>148.4</v>
      </c>
    </row>
    <row r="45" spans="2:6" ht="16.5" x14ac:dyDescent="0.45">
      <c r="B45" s="23">
        <v>39</v>
      </c>
      <c r="C45" s="127" t="s">
        <v>260</v>
      </c>
      <c r="D45" s="118">
        <v>1</v>
      </c>
      <c r="E45" s="128">
        <v>25.34</v>
      </c>
      <c r="F45" s="128">
        <f t="shared" si="0"/>
        <v>25.34</v>
      </c>
    </row>
    <row r="46" spans="2:6" ht="16.5" x14ac:dyDescent="0.45">
      <c r="B46" s="23">
        <v>40</v>
      </c>
      <c r="C46" s="130" t="s">
        <v>261</v>
      </c>
      <c r="D46" s="121">
        <v>2</v>
      </c>
      <c r="E46" s="131">
        <v>33.799999999999997</v>
      </c>
      <c r="F46" s="131">
        <f t="shared" si="0"/>
        <v>67.599999999999994</v>
      </c>
    </row>
    <row r="47" spans="2:6" ht="16.5" x14ac:dyDescent="0.45">
      <c r="B47" s="23">
        <v>41</v>
      </c>
      <c r="C47" s="127" t="s">
        <v>262</v>
      </c>
      <c r="D47" s="118">
        <v>1</v>
      </c>
      <c r="E47" s="128">
        <v>54.19</v>
      </c>
      <c r="F47" s="128">
        <f t="shared" si="0"/>
        <v>54.19</v>
      </c>
    </row>
    <row r="48" spans="2:6" ht="16.5" x14ac:dyDescent="0.45">
      <c r="B48" s="23">
        <v>42</v>
      </c>
      <c r="C48" s="130" t="s">
        <v>263</v>
      </c>
      <c r="D48" s="133">
        <v>1</v>
      </c>
      <c r="E48" s="134">
        <v>79.86</v>
      </c>
      <c r="F48" s="131">
        <f t="shared" si="0"/>
        <v>79.86</v>
      </c>
    </row>
    <row r="49" spans="2:6" ht="16.5" x14ac:dyDescent="0.45">
      <c r="B49" s="23">
        <v>43</v>
      </c>
      <c r="C49" s="127" t="s">
        <v>264</v>
      </c>
      <c r="D49" s="136">
        <v>2</v>
      </c>
      <c r="E49" s="137">
        <v>26.9</v>
      </c>
      <c r="F49" s="128">
        <f t="shared" si="0"/>
        <v>53.8</v>
      </c>
    </row>
    <row r="50" spans="2:6" ht="16.5" x14ac:dyDescent="0.45">
      <c r="B50" s="23">
        <v>44</v>
      </c>
      <c r="C50" s="130" t="s">
        <v>265</v>
      </c>
      <c r="D50" s="133">
        <v>2</v>
      </c>
      <c r="E50" s="134">
        <v>12.13</v>
      </c>
      <c r="F50" s="131">
        <f t="shared" si="0"/>
        <v>24.26</v>
      </c>
    </row>
    <row r="51" spans="2:6" ht="16.5" x14ac:dyDescent="0.45">
      <c r="B51" s="23">
        <v>45</v>
      </c>
      <c r="C51" s="127" t="s">
        <v>266</v>
      </c>
      <c r="D51" s="136">
        <v>25</v>
      </c>
      <c r="E51" s="137">
        <v>0.66</v>
      </c>
      <c r="F51" s="128">
        <f t="shared" si="0"/>
        <v>16.5</v>
      </c>
    </row>
    <row r="52" spans="2:6" ht="16.5" x14ac:dyDescent="0.45">
      <c r="B52" s="23">
        <v>46</v>
      </c>
      <c r="C52" s="130" t="s">
        <v>267</v>
      </c>
      <c r="D52" s="133">
        <v>100</v>
      </c>
      <c r="E52" s="134">
        <v>0.71</v>
      </c>
      <c r="F52" s="131">
        <f t="shared" si="0"/>
        <v>71</v>
      </c>
    </row>
    <row r="53" spans="2:6" ht="16.5" x14ac:dyDescent="0.45">
      <c r="B53" s="23">
        <v>47</v>
      </c>
      <c r="C53" s="127" t="s">
        <v>268</v>
      </c>
      <c r="D53" s="136">
        <v>100</v>
      </c>
      <c r="E53" s="137">
        <v>0.72</v>
      </c>
      <c r="F53" s="128">
        <f t="shared" si="0"/>
        <v>72</v>
      </c>
    </row>
    <row r="54" spans="2:6" ht="16.5" x14ac:dyDescent="0.45">
      <c r="B54" s="23">
        <v>48</v>
      </c>
      <c r="C54" s="130" t="s">
        <v>269</v>
      </c>
      <c r="D54" s="133">
        <v>25</v>
      </c>
      <c r="E54" s="134">
        <v>0.6</v>
      </c>
      <c r="F54" s="131">
        <f t="shared" si="0"/>
        <v>15</v>
      </c>
    </row>
    <row r="55" spans="2:6" ht="16.5" x14ac:dyDescent="0.25">
      <c r="B55" s="168" t="s">
        <v>153</v>
      </c>
      <c r="C55" s="169"/>
      <c r="D55" s="169"/>
      <c r="E55" s="170"/>
      <c r="F55" s="171">
        <f>SUM(F7:F54)</f>
        <v>3565.4100000000012</v>
      </c>
    </row>
    <row r="56" spans="2:6" ht="16.5" x14ac:dyDescent="0.25">
      <c r="B56" s="168" t="s">
        <v>212</v>
      </c>
      <c r="C56" s="169"/>
      <c r="D56" s="169"/>
      <c r="E56" s="170"/>
      <c r="F56" s="171">
        <f>F55/3</f>
        <v>1188.4700000000005</v>
      </c>
    </row>
    <row r="57" spans="2:6" ht="16.5" x14ac:dyDescent="0.25">
      <c r="B57" s="168" t="s">
        <v>207</v>
      </c>
      <c r="C57" s="169"/>
      <c r="D57" s="169"/>
      <c r="E57" s="170"/>
      <c r="F57" s="171">
        <f>F56/12</f>
        <v>99.039166666666702</v>
      </c>
    </row>
  </sheetData>
  <mergeCells count="3">
    <mergeCell ref="B55:E55"/>
    <mergeCell ref="B56:E56"/>
    <mergeCell ref="B57:E57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43C5F-72F5-4BCE-80DE-12EB45284A3A}">
  <dimension ref="B3:I129"/>
  <sheetViews>
    <sheetView topLeftCell="A117" workbookViewId="0">
      <selection activeCell="K68" sqref="K68"/>
    </sheetView>
  </sheetViews>
  <sheetFormatPr defaultRowHeight="12.5" x14ac:dyDescent="0.25"/>
  <cols>
    <col min="3" max="3" width="62.90625" customWidth="1"/>
    <col min="5" max="6" width="10" bestFit="1" customWidth="1"/>
    <col min="9" max="9" width="11.26953125" bestFit="1" customWidth="1"/>
  </cols>
  <sheetData>
    <row r="3" spans="2:9" ht="16.5" x14ac:dyDescent="0.45">
      <c r="B3" s="115" t="s">
        <v>270</v>
      </c>
    </row>
    <row r="5" spans="2:9" ht="66" x14ac:dyDescent="0.25">
      <c r="B5" s="126" t="s">
        <v>201</v>
      </c>
      <c r="C5" s="126" t="s">
        <v>202</v>
      </c>
      <c r="D5" s="126" t="s">
        <v>203</v>
      </c>
      <c r="E5" s="126" t="s">
        <v>204</v>
      </c>
      <c r="F5" s="126" t="s">
        <v>208</v>
      </c>
      <c r="G5" s="126" t="s">
        <v>209</v>
      </c>
      <c r="H5" s="126" t="s">
        <v>210</v>
      </c>
      <c r="I5" s="126" t="s">
        <v>211</v>
      </c>
    </row>
    <row r="6" spans="2:9" ht="16.5" x14ac:dyDescent="0.45">
      <c r="B6" s="23">
        <v>1</v>
      </c>
      <c r="C6" s="127" t="s">
        <v>272</v>
      </c>
      <c r="D6" s="118">
        <v>1</v>
      </c>
      <c r="E6" s="128">
        <v>100.97</v>
      </c>
      <c r="F6" s="128">
        <f t="shared" ref="F6:F55" si="0">D6*E6</f>
        <v>100.97</v>
      </c>
      <c r="G6" s="129">
        <v>5</v>
      </c>
      <c r="H6" s="129">
        <v>20</v>
      </c>
      <c r="I6" s="128">
        <f>(((F6*(100-H6)/100)/(G6)))</f>
        <v>16.155200000000001</v>
      </c>
    </row>
    <row r="7" spans="2:9" ht="16.5" x14ac:dyDescent="0.45">
      <c r="B7" s="23">
        <v>2</v>
      </c>
      <c r="C7" s="130" t="s">
        <v>273</v>
      </c>
      <c r="D7" s="121">
        <v>1</v>
      </c>
      <c r="E7" s="131">
        <v>55</v>
      </c>
      <c r="F7" s="131">
        <f t="shared" si="0"/>
        <v>55</v>
      </c>
      <c r="G7" s="132">
        <v>5</v>
      </c>
      <c r="H7" s="132">
        <v>20</v>
      </c>
      <c r="I7" s="131">
        <f t="shared" ref="I7:I60" si="1">(((F7*(100-H7)/100)/G7))</f>
        <v>8.8000000000000007</v>
      </c>
    </row>
    <row r="8" spans="2:9" ht="16.5" x14ac:dyDescent="0.45">
      <c r="B8" s="23">
        <v>3</v>
      </c>
      <c r="C8" s="127" t="s">
        <v>274</v>
      </c>
      <c r="D8" s="118">
        <v>1</v>
      </c>
      <c r="E8" s="128">
        <v>37.340000000000003</v>
      </c>
      <c r="F8" s="128">
        <f t="shared" si="0"/>
        <v>37.340000000000003</v>
      </c>
      <c r="G8" s="129">
        <v>5</v>
      </c>
      <c r="H8" s="129">
        <v>20</v>
      </c>
      <c r="I8" s="128">
        <f t="shared" si="1"/>
        <v>5.974400000000001</v>
      </c>
    </row>
    <row r="9" spans="2:9" ht="16.5" x14ac:dyDescent="0.45">
      <c r="B9" s="23">
        <v>4</v>
      </c>
      <c r="C9" s="130" t="s">
        <v>275</v>
      </c>
      <c r="D9" s="121">
        <v>1</v>
      </c>
      <c r="E9" s="131">
        <v>26.59</v>
      </c>
      <c r="F9" s="131">
        <f t="shared" si="0"/>
        <v>26.59</v>
      </c>
      <c r="G9" s="132">
        <v>5</v>
      </c>
      <c r="H9" s="132">
        <v>20</v>
      </c>
      <c r="I9" s="131">
        <f t="shared" si="1"/>
        <v>4.2543999999999995</v>
      </c>
    </row>
    <row r="10" spans="2:9" ht="16.5" x14ac:dyDescent="0.45">
      <c r="B10" s="23">
        <v>5</v>
      </c>
      <c r="C10" s="127" t="s">
        <v>276</v>
      </c>
      <c r="D10" s="118">
        <v>1</v>
      </c>
      <c r="E10" s="128">
        <v>21.62</v>
      </c>
      <c r="F10" s="128">
        <f t="shared" si="0"/>
        <v>21.62</v>
      </c>
      <c r="G10" s="129">
        <v>5</v>
      </c>
      <c r="H10" s="129">
        <v>20</v>
      </c>
      <c r="I10" s="128">
        <f t="shared" si="1"/>
        <v>3.4592000000000005</v>
      </c>
    </row>
    <row r="11" spans="2:9" ht="16.5" x14ac:dyDescent="0.45">
      <c r="B11" s="23">
        <v>6</v>
      </c>
      <c r="C11" s="130" t="s">
        <v>277</v>
      </c>
      <c r="D11" s="121">
        <v>1</v>
      </c>
      <c r="E11" s="131">
        <v>44</v>
      </c>
      <c r="F11" s="131">
        <f t="shared" si="0"/>
        <v>44</v>
      </c>
      <c r="G11" s="132">
        <v>5</v>
      </c>
      <c r="H11" s="132">
        <v>20</v>
      </c>
      <c r="I11" s="131">
        <f t="shared" si="1"/>
        <v>7.0400000000000009</v>
      </c>
    </row>
    <row r="12" spans="2:9" ht="16.5" x14ac:dyDescent="0.45">
      <c r="B12" s="23">
        <v>7</v>
      </c>
      <c r="C12" s="127" t="s">
        <v>278</v>
      </c>
      <c r="D12" s="118">
        <v>1</v>
      </c>
      <c r="E12" s="128">
        <v>24.44</v>
      </c>
      <c r="F12" s="128">
        <f t="shared" si="0"/>
        <v>24.44</v>
      </c>
      <c r="G12" s="129">
        <v>5</v>
      </c>
      <c r="H12" s="129">
        <v>20</v>
      </c>
      <c r="I12" s="128">
        <f t="shared" si="1"/>
        <v>3.9104000000000001</v>
      </c>
    </row>
    <row r="13" spans="2:9" ht="16.5" x14ac:dyDescent="0.45">
      <c r="B13" s="23">
        <v>8</v>
      </c>
      <c r="C13" s="130" t="s">
        <v>279</v>
      </c>
      <c r="D13" s="133">
        <v>1</v>
      </c>
      <c r="E13" s="134">
        <v>20.5</v>
      </c>
      <c r="F13" s="131">
        <f t="shared" si="0"/>
        <v>20.5</v>
      </c>
      <c r="G13" s="135">
        <v>5</v>
      </c>
      <c r="H13" s="135">
        <v>20</v>
      </c>
      <c r="I13" s="131">
        <f t="shared" si="1"/>
        <v>3.28</v>
      </c>
    </row>
    <row r="14" spans="2:9" ht="16.5" x14ac:dyDescent="0.45">
      <c r="B14" s="23">
        <v>9</v>
      </c>
      <c r="C14" s="127" t="s">
        <v>280</v>
      </c>
      <c r="D14" s="118">
        <v>1</v>
      </c>
      <c r="E14" s="128">
        <v>31.81</v>
      </c>
      <c r="F14" s="128">
        <f t="shared" si="0"/>
        <v>31.81</v>
      </c>
      <c r="G14" s="129">
        <v>5</v>
      </c>
      <c r="H14" s="129">
        <v>20</v>
      </c>
      <c r="I14" s="128">
        <f t="shared" si="1"/>
        <v>5.089599999999999</v>
      </c>
    </row>
    <row r="15" spans="2:9" ht="16.5" x14ac:dyDescent="0.45">
      <c r="B15" s="23">
        <v>10</v>
      </c>
      <c r="C15" s="130" t="s">
        <v>281</v>
      </c>
      <c r="D15" s="121">
        <v>1</v>
      </c>
      <c r="E15" s="131">
        <v>18.170000000000002</v>
      </c>
      <c r="F15" s="131">
        <f t="shared" si="0"/>
        <v>18.170000000000002</v>
      </c>
      <c r="G15" s="132">
        <v>5</v>
      </c>
      <c r="H15" s="132">
        <v>20</v>
      </c>
      <c r="I15" s="131">
        <f t="shared" si="1"/>
        <v>2.9072000000000005</v>
      </c>
    </row>
    <row r="16" spans="2:9" ht="16.5" x14ac:dyDescent="0.45">
      <c r="B16" s="23">
        <v>11</v>
      </c>
      <c r="C16" s="127" t="s">
        <v>282</v>
      </c>
      <c r="D16" s="118">
        <v>1</v>
      </c>
      <c r="E16" s="128">
        <v>12</v>
      </c>
      <c r="F16" s="128">
        <f t="shared" si="0"/>
        <v>12</v>
      </c>
      <c r="G16" s="129">
        <v>5</v>
      </c>
      <c r="H16" s="129">
        <v>20</v>
      </c>
      <c r="I16" s="128">
        <f t="shared" si="1"/>
        <v>1.92</v>
      </c>
    </row>
    <row r="17" spans="2:9" ht="16.5" x14ac:dyDescent="0.45">
      <c r="B17" s="23">
        <v>12</v>
      </c>
      <c r="C17" s="130" t="s">
        <v>283</v>
      </c>
      <c r="D17" s="121">
        <v>1</v>
      </c>
      <c r="E17" s="131">
        <v>17.329999999999998</v>
      </c>
      <c r="F17" s="131">
        <f t="shared" si="0"/>
        <v>17.329999999999998</v>
      </c>
      <c r="G17" s="132">
        <v>5</v>
      </c>
      <c r="H17" s="132">
        <v>20</v>
      </c>
      <c r="I17" s="131">
        <f t="shared" si="1"/>
        <v>2.7727999999999997</v>
      </c>
    </row>
    <row r="18" spans="2:9" ht="16.5" x14ac:dyDescent="0.45">
      <c r="B18" s="23">
        <v>13</v>
      </c>
      <c r="C18" s="127" t="s">
        <v>284</v>
      </c>
      <c r="D18" s="118">
        <v>1</v>
      </c>
      <c r="E18" s="128">
        <v>17.45</v>
      </c>
      <c r="F18" s="128">
        <f t="shared" si="0"/>
        <v>17.45</v>
      </c>
      <c r="G18" s="129">
        <v>5</v>
      </c>
      <c r="H18" s="129">
        <v>20</v>
      </c>
      <c r="I18" s="128">
        <f t="shared" si="1"/>
        <v>2.7920000000000003</v>
      </c>
    </row>
    <row r="19" spans="2:9" ht="16.5" x14ac:dyDescent="0.45">
      <c r="B19" s="23">
        <v>14</v>
      </c>
      <c r="C19" s="130" t="s">
        <v>285</v>
      </c>
      <c r="D19" s="121">
        <v>1</v>
      </c>
      <c r="E19" s="131">
        <v>11.77</v>
      </c>
      <c r="F19" s="131">
        <f t="shared" si="0"/>
        <v>11.77</v>
      </c>
      <c r="G19" s="132">
        <v>5</v>
      </c>
      <c r="H19" s="132">
        <v>20</v>
      </c>
      <c r="I19" s="131">
        <f t="shared" si="1"/>
        <v>1.8831999999999998</v>
      </c>
    </row>
    <row r="20" spans="2:9" ht="16.5" x14ac:dyDescent="0.45">
      <c r="B20" s="23">
        <v>15</v>
      </c>
      <c r="C20" s="127" t="s">
        <v>286</v>
      </c>
      <c r="D20" s="118">
        <v>1</v>
      </c>
      <c r="E20" s="128">
        <v>11.34</v>
      </c>
      <c r="F20" s="128">
        <f t="shared" si="0"/>
        <v>11.34</v>
      </c>
      <c r="G20" s="129">
        <v>5</v>
      </c>
      <c r="H20" s="129">
        <v>20</v>
      </c>
      <c r="I20" s="128">
        <f t="shared" si="1"/>
        <v>1.8144000000000002</v>
      </c>
    </row>
    <row r="21" spans="2:9" ht="16.5" x14ac:dyDescent="0.45">
      <c r="B21" s="23">
        <v>16</v>
      </c>
      <c r="C21" s="130" t="s">
        <v>287</v>
      </c>
      <c r="D21" s="121">
        <v>1</v>
      </c>
      <c r="E21" s="131">
        <v>10.69</v>
      </c>
      <c r="F21" s="131">
        <f t="shared" si="0"/>
        <v>10.69</v>
      </c>
      <c r="G21" s="132">
        <v>5</v>
      </c>
      <c r="H21" s="132">
        <v>20</v>
      </c>
      <c r="I21" s="131">
        <f t="shared" si="1"/>
        <v>1.7103999999999999</v>
      </c>
    </row>
    <row r="22" spans="2:9" ht="16.5" x14ac:dyDescent="0.45">
      <c r="B22" s="23">
        <v>17</v>
      </c>
      <c r="C22" s="127" t="s">
        <v>288</v>
      </c>
      <c r="D22" s="118">
        <v>1</v>
      </c>
      <c r="E22" s="128">
        <v>12.87</v>
      </c>
      <c r="F22" s="128">
        <f t="shared" si="0"/>
        <v>12.87</v>
      </c>
      <c r="G22" s="129">
        <v>5</v>
      </c>
      <c r="H22" s="129">
        <v>20</v>
      </c>
      <c r="I22" s="128">
        <f t="shared" si="1"/>
        <v>2.0591999999999997</v>
      </c>
    </row>
    <row r="23" spans="2:9" ht="16.5" x14ac:dyDescent="0.45">
      <c r="B23" s="23">
        <v>18</v>
      </c>
      <c r="C23" s="130" t="s">
        <v>289</v>
      </c>
      <c r="D23" s="121">
        <v>1</v>
      </c>
      <c r="E23" s="131">
        <v>14.04</v>
      </c>
      <c r="F23" s="131">
        <f t="shared" si="0"/>
        <v>14.04</v>
      </c>
      <c r="G23" s="132">
        <v>5</v>
      </c>
      <c r="H23" s="132">
        <v>20</v>
      </c>
      <c r="I23" s="131">
        <f t="shared" si="1"/>
        <v>2.2463999999999995</v>
      </c>
    </row>
    <row r="24" spans="2:9" ht="16.5" x14ac:dyDescent="0.45">
      <c r="B24" s="23">
        <v>19</v>
      </c>
      <c r="C24" s="127" t="s">
        <v>290</v>
      </c>
      <c r="D24" s="118">
        <v>1</v>
      </c>
      <c r="E24" s="128">
        <v>18.27</v>
      </c>
      <c r="F24" s="128">
        <f t="shared" ref="F24:F54" si="2">D24*E24</f>
        <v>18.27</v>
      </c>
      <c r="G24" s="129">
        <v>5</v>
      </c>
      <c r="H24" s="129">
        <v>20</v>
      </c>
      <c r="I24" s="128">
        <f>(((F24*(100-H24)/100)/(G24)))</f>
        <v>2.9232</v>
      </c>
    </row>
    <row r="25" spans="2:9" ht="16.5" x14ac:dyDescent="0.45">
      <c r="B25" s="23">
        <v>20</v>
      </c>
      <c r="C25" s="130" t="s">
        <v>291</v>
      </c>
      <c r="D25" s="121">
        <v>1</v>
      </c>
      <c r="E25" s="131">
        <v>21.31</v>
      </c>
      <c r="F25" s="131">
        <f t="shared" si="2"/>
        <v>21.31</v>
      </c>
      <c r="G25" s="132">
        <v>5</v>
      </c>
      <c r="H25" s="132">
        <v>20</v>
      </c>
      <c r="I25" s="131">
        <f t="shared" ref="I25:I33" si="3">(((F25*(100-H25)/100)/G25))</f>
        <v>3.4095999999999997</v>
      </c>
    </row>
    <row r="26" spans="2:9" ht="16.5" x14ac:dyDescent="0.45">
      <c r="B26" s="23">
        <v>21</v>
      </c>
      <c r="C26" s="127" t="s">
        <v>292</v>
      </c>
      <c r="D26" s="118">
        <v>1</v>
      </c>
      <c r="E26" s="128">
        <v>19.059999999999999</v>
      </c>
      <c r="F26" s="128">
        <f t="shared" si="2"/>
        <v>19.059999999999999</v>
      </c>
      <c r="G26" s="129">
        <v>5</v>
      </c>
      <c r="H26" s="129">
        <v>20</v>
      </c>
      <c r="I26" s="128">
        <f t="shared" si="3"/>
        <v>3.0495999999999999</v>
      </c>
    </row>
    <row r="27" spans="2:9" ht="16.5" x14ac:dyDescent="0.45">
      <c r="B27" s="23">
        <v>22</v>
      </c>
      <c r="C27" s="130" t="s">
        <v>293</v>
      </c>
      <c r="D27" s="121">
        <v>1</v>
      </c>
      <c r="E27" s="131">
        <v>19.850000000000001</v>
      </c>
      <c r="F27" s="131">
        <f t="shared" si="2"/>
        <v>19.850000000000001</v>
      </c>
      <c r="G27" s="132">
        <v>5</v>
      </c>
      <c r="H27" s="132">
        <v>20</v>
      </c>
      <c r="I27" s="131">
        <f t="shared" si="3"/>
        <v>3.1760000000000002</v>
      </c>
    </row>
    <row r="28" spans="2:9" ht="16.5" x14ac:dyDescent="0.45">
      <c r="B28" s="23">
        <v>23</v>
      </c>
      <c r="C28" s="127" t="s">
        <v>294</v>
      </c>
      <c r="D28" s="118">
        <v>1</v>
      </c>
      <c r="E28" s="128">
        <v>10</v>
      </c>
      <c r="F28" s="128">
        <f t="shared" si="2"/>
        <v>10</v>
      </c>
      <c r="G28" s="129">
        <v>5</v>
      </c>
      <c r="H28" s="129">
        <v>20</v>
      </c>
      <c r="I28" s="128">
        <f t="shared" si="3"/>
        <v>1.6</v>
      </c>
    </row>
    <row r="29" spans="2:9" ht="16.5" x14ac:dyDescent="0.45">
      <c r="B29" s="23">
        <v>24</v>
      </c>
      <c r="C29" s="130" t="s">
        <v>295</v>
      </c>
      <c r="D29" s="121">
        <v>1</v>
      </c>
      <c r="E29" s="131">
        <v>10</v>
      </c>
      <c r="F29" s="131">
        <f t="shared" si="2"/>
        <v>10</v>
      </c>
      <c r="G29" s="132">
        <v>5</v>
      </c>
      <c r="H29" s="132">
        <v>20</v>
      </c>
      <c r="I29" s="131">
        <f t="shared" si="3"/>
        <v>1.6</v>
      </c>
    </row>
    <row r="30" spans="2:9" ht="16.5" x14ac:dyDescent="0.45">
      <c r="B30" s="23">
        <v>25</v>
      </c>
      <c r="C30" s="127" t="s">
        <v>296</v>
      </c>
      <c r="D30" s="118">
        <v>1</v>
      </c>
      <c r="E30" s="128">
        <v>40.39</v>
      </c>
      <c r="F30" s="128">
        <f t="shared" si="2"/>
        <v>40.39</v>
      </c>
      <c r="G30" s="129">
        <v>5</v>
      </c>
      <c r="H30" s="129">
        <v>20</v>
      </c>
      <c r="I30" s="128">
        <f t="shared" si="3"/>
        <v>6.4623999999999997</v>
      </c>
    </row>
    <row r="31" spans="2:9" ht="16.5" x14ac:dyDescent="0.45">
      <c r="B31" s="23">
        <v>26</v>
      </c>
      <c r="C31" s="130" t="s">
        <v>297</v>
      </c>
      <c r="D31" s="133">
        <v>1</v>
      </c>
      <c r="E31" s="134">
        <v>7.56</v>
      </c>
      <c r="F31" s="131">
        <f t="shared" si="2"/>
        <v>7.56</v>
      </c>
      <c r="G31" s="135">
        <v>5</v>
      </c>
      <c r="H31" s="135">
        <v>20</v>
      </c>
      <c r="I31" s="131">
        <f t="shared" si="3"/>
        <v>1.2095999999999998</v>
      </c>
    </row>
    <row r="32" spans="2:9" ht="16.5" x14ac:dyDescent="0.45">
      <c r="B32" s="23">
        <v>27</v>
      </c>
      <c r="C32" s="127" t="s">
        <v>298</v>
      </c>
      <c r="D32" s="118">
        <v>1</v>
      </c>
      <c r="E32" s="128">
        <v>7.97</v>
      </c>
      <c r="F32" s="128">
        <f t="shared" si="2"/>
        <v>7.97</v>
      </c>
      <c r="G32" s="129">
        <v>5</v>
      </c>
      <c r="H32" s="129">
        <v>20</v>
      </c>
      <c r="I32" s="128">
        <f t="shared" si="3"/>
        <v>1.2752000000000001</v>
      </c>
    </row>
    <row r="33" spans="2:9" ht="16.5" x14ac:dyDescent="0.45">
      <c r="B33" s="23">
        <v>28</v>
      </c>
      <c r="C33" s="130" t="s">
        <v>299</v>
      </c>
      <c r="D33" s="121">
        <v>1</v>
      </c>
      <c r="E33" s="131">
        <v>9.41</v>
      </c>
      <c r="F33" s="131">
        <f t="shared" si="2"/>
        <v>9.41</v>
      </c>
      <c r="G33" s="132">
        <v>5</v>
      </c>
      <c r="H33" s="132">
        <v>20</v>
      </c>
      <c r="I33" s="131">
        <f t="shared" si="3"/>
        <v>1.5055999999999998</v>
      </c>
    </row>
    <row r="34" spans="2:9" ht="16.5" x14ac:dyDescent="0.45">
      <c r="B34" s="23">
        <v>29</v>
      </c>
      <c r="C34" s="127" t="s">
        <v>300</v>
      </c>
      <c r="D34" s="118">
        <v>1</v>
      </c>
      <c r="E34" s="128">
        <v>7.75</v>
      </c>
      <c r="F34" s="128">
        <f t="shared" si="2"/>
        <v>7.75</v>
      </c>
      <c r="G34" s="129">
        <v>5</v>
      </c>
      <c r="H34" s="129">
        <v>20</v>
      </c>
      <c r="I34" s="128">
        <f>(((F34*(100-H34)/100)/(G34)))</f>
        <v>1.24</v>
      </c>
    </row>
    <row r="35" spans="2:9" ht="16.5" x14ac:dyDescent="0.45">
      <c r="B35" s="23">
        <v>30</v>
      </c>
      <c r="C35" s="130" t="s">
        <v>301</v>
      </c>
      <c r="D35" s="121">
        <v>1</v>
      </c>
      <c r="E35" s="131">
        <v>11.96</v>
      </c>
      <c r="F35" s="131">
        <f t="shared" si="2"/>
        <v>11.96</v>
      </c>
      <c r="G35" s="132">
        <v>5</v>
      </c>
      <c r="H35" s="132">
        <v>20</v>
      </c>
      <c r="I35" s="131">
        <f t="shared" ref="I35:I43" si="4">(((F35*(100-H35)/100)/G35))</f>
        <v>1.9136000000000002</v>
      </c>
    </row>
    <row r="36" spans="2:9" ht="16.5" x14ac:dyDescent="0.45">
      <c r="B36" s="23">
        <v>31</v>
      </c>
      <c r="C36" s="127" t="s">
        <v>302</v>
      </c>
      <c r="D36" s="118">
        <v>1</v>
      </c>
      <c r="E36" s="128">
        <v>18</v>
      </c>
      <c r="F36" s="128">
        <f t="shared" si="2"/>
        <v>18</v>
      </c>
      <c r="G36" s="129">
        <v>5</v>
      </c>
      <c r="H36" s="129">
        <v>20</v>
      </c>
      <c r="I36" s="128">
        <f t="shared" si="4"/>
        <v>2.88</v>
      </c>
    </row>
    <row r="37" spans="2:9" ht="16.5" x14ac:dyDescent="0.45">
      <c r="B37" s="23">
        <v>32</v>
      </c>
      <c r="C37" s="130" t="s">
        <v>303</v>
      </c>
      <c r="D37" s="121">
        <v>1</v>
      </c>
      <c r="E37" s="131">
        <v>6.85</v>
      </c>
      <c r="F37" s="131">
        <f t="shared" si="2"/>
        <v>6.85</v>
      </c>
      <c r="G37" s="132">
        <v>5</v>
      </c>
      <c r="H37" s="132">
        <v>20</v>
      </c>
      <c r="I37" s="131">
        <f t="shared" si="4"/>
        <v>1.0960000000000001</v>
      </c>
    </row>
    <row r="38" spans="2:9" ht="16.5" x14ac:dyDescent="0.45">
      <c r="B38" s="23">
        <v>33</v>
      </c>
      <c r="C38" s="127" t="s">
        <v>304</v>
      </c>
      <c r="D38" s="118">
        <v>1</v>
      </c>
      <c r="E38" s="128">
        <v>4.29</v>
      </c>
      <c r="F38" s="128">
        <f t="shared" si="2"/>
        <v>4.29</v>
      </c>
      <c r="G38" s="129">
        <v>5</v>
      </c>
      <c r="H38" s="129">
        <v>20</v>
      </c>
      <c r="I38" s="128">
        <f t="shared" si="4"/>
        <v>0.68640000000000001</v>
      </c>
    </row>
    <row r="39" spans="2:9" ht="16.5" x14ac:dyDescent="0.45">
      <c r="B39" s="23">
        <v>34</v>
      </c>
      <c r="C39" s="130" t="s">
        <v>305</v>
      </c>
      <c r="D39" s="121">
        <v>1</v>
      </c>
      <c r="E39" s="131">
        <v>6.01</v>
      </c>
      <c r="F39" s="131">
        <f t="shared" si="2"/>
        <v>6.01</v>
      </c>
      <c r="G39" s="132">
        <v>5</v>
      </c>
      <c r="H39" s="132">
        <v>20</v>
      </c>
      <c r="I39" s="131">
        <f t="shared" si="4"/>
        <v>0.96160000000000001</v>
      </c>
    </row>
    <row r="40" spans="2:9" ht="16.5" x14ac:dyDescent="0.45">
      <c r="B40" s="23">
        <v>35</v>
      </c>
      <c r="C40" s="127" t="s">
        <v>306</v>
      </c>
      <c r="D40" s="118">
        <v>1</v>
      </c>
      <c r="E40" s="128">
        <v>8.18</v>
      </c>
      <c r="F40" s="128">
        <f t="shared" si="2"/>
        <v>8.18</v>
      </c>
      <c r="G40" s="129">
        <v>5</v>
      </c>
      <c r="H40" s="129">
        <v>20</v>
      </c>
      <c r="I40" s="128">
        <f t="shared" si="4"/>
        <v>1.3088</v>
      </c>
    </row>
    <row r="41" spans="2:9" ht="16.5" x14ac:dyDescent="0.45">
      <c r="B41" s="23">
        <v>36</v>
      </c>
      <c r="C41" s="130" t="s">
        <v>307</v>
      </c>
      <c r="D41" s="133">
        <v>1</v>
      </c>
      <c r="E41" s="134">
        <v>8.9</v>
      </c>
      <c r="F41" s="131">
        <f t="shared" si="2"/>
        <v>8.9</v>
      </c>
      <c r="G41" s="135">
        <v>5</v>
      </c>
      <c r="H41" s="135">
        <v>20</v>
      </c>
      <c r="I41" s="131">
        <f t="shared" si="4"/>
        <v>1.4239999999999999</v>
      </c>
    </row>
    <row r="42" spans="2:9" ht="16.5" x14ac:dyDescent="0.45">
      <c r="B42" s="23">
        <v>37</v>
      </c>
      <c r="C42" s="127" t="s">
        <v>308</v>
      </c>
      <c r="D42" s="118">
        <v>1</v>
      </c>
      <c r="E42" s="128">
        <v>8.5399999999999991</v>
      </c>
      <c r="F42" s="128">
        <f t="shared" si="2"/>
        <v>8.5399999999999991</v>
      </c>
      <c r="G42" s="129">
        <v>5</v>
      </c>
      <c r="H42" s="129">
        <v>20</v>
      </c>
      <c r="I42" s="128">
        <f t="shared" si="4"/>
        <v>1.3663999999999998</v>
      </c>
    </row>
    <row r="43" spans="2:9" ht="16.5" x14ac:dyDescent="0.45">
      <c r="B43" s="23">
        <v>38</v>
      </c>
      <c r="C43" s="130" t="s">
        <v>309</v>
      </c>
      <c r="D43" s="121">
        <v>1</v>
      </c>
      <c r="E43" s="131">
        <v>9.6199999999999992</v>
      </c>
      <c r="F43" s="131">
        <f t="shared" si="2"/>
        <v>9.6199999999999992</v>
      </c>
      <c r="G43" s="132">
        <v>5</v>
      </c>
      <c r="H43" s="132">
        <v>20</v>
      </c>
      <c r="I43" s="131">
        <f t="shared" si="4"/>
        <v>1.5391999999999997</v>
      </c>
    </row>
    <row r="44" spans="2:9" ht="16.5" x14ac:dyDescent="0.45">
      <c r="B44" s="23">
        <v>39</v>
      </c>
      <c r="C44" s="127" t="s">
        <v>310</v>
      </c>
      <c r="D44" s="118">
        <v>1</v>
      </c>
      <c r="E44" s="128">
        <v>9.59</v>
      </c>
      <c r="F44" s="128">
        <f t="shared" si="2"/>
        <v>9.59</v>
      </c>
      <c r="G44" s="129">
        <v>5</v>
      </c>
      <c r="H44" s="129">
        <v>20</v>
      </c>
      <c r="I44" s="128">
        <f>(((F44*(100-H44)/100)/(G44)))</f>
        <v>1.5344000000000002</v>
      </c>
    </row>
    <row r="45" spans="2:9" ht="16.5" x14ac:dyDescent="0.45">
      <c r="B45" s="23">
        <v>40</v>
      </c>
      <c r="C45" s="130" t="s">
        <v>311</v>
      </c>
      <c r="D45" s="121">
        <v>1</v>
      </c>
      <c r="E45" s="131">
        <v>36</v>
      </c>
      <c r="F45" s="131">
        <f t="shared" si="2"/>
        <v>36</v>
      </c>
      <c r="G45" s="132">
        <v>5</v>
      </c>
      <c r="H45" s="132">
        <v>20</v>
      </c>
      <c r="I45" s="131">
        <f t="shared" ref="I45:I54" si="5">(((F45*(100-H45)/100)/G45))</f>
        <v>5.76</v>
      </c>
    </row>
    <row r="46" spans="2:9" ht="16.5" x14ac:dyDescent="0.45">
      <c r="B46" s="23">
        <v>41</v>
      </c>
      <c r="C46" s="127" t="s">
        <v>312</v>
      </c>
      <c r="D46" s="118">
        <v>1</v>
      </c>
      <c r="E46" s="128">
        <v>8.07</v>
      </c>
      <c r="F46" s="128">
        <f t="shared" si="2"/>
        <v>8.07</v>
      </c>
      <c r="G46" s="129">
        <v>5</v>
      </c>
      <c r="H46" s="129">
        <v>20</v>
      </c>
      <c r="I46" s="128">
        <f t="shared" si="5"/>
        <v>1.2912000000000001</v>
      </c>
    </row>
    <row r="47" spans="2:9" ht="16.5" x14ac:dyDescent="0.45">
      <c r="B47" s="23">
        <v>42</v>
      </c>
      <c r="C47" s="130" t="s">
        <v>313</v>
      </c>
      <c r="D47" s="121">
        <v>1</v>
      </c>
      <c r="E47" s="131">
        <v>5.93</v>
      </c>
      <c r="F47" s="131">
        <f t="shared" si="2"/>
        <v>5.93</v>
      </c>
      <c r="G47" s="132">
        <v>5</v>
      </c>
      <c r="H47" s="132">
        <v>20</v>
      </c>
      <c r="I47" s="131">
        <f t="shared" si="5"/>
        <v>0.94879999999999998</v>
      </c>
    </row>
    <row r="48" spans="2:9" ht="16.5" x14ac:dyDescent="0.45">
      <c r="B48" s="23">
        <v>43</v>
      </c>
      <c r="C48" s="127" t="s">
        <v>314</v>
      </c>
      <c r="D48" s="118">
        <v>1</v>
      </c>
      <c r="E48" s="128">
        <v>9.59</v>
      </c>
      <c r="F48" s="128">
        <f t="shared" si="2"/>
        <v>9.59</v>
      </c>
      <c r="G48" s="129">
        <v>5</v>
      </c>
      <c r="H48" s="129">
        <v>20</v>
      </c>
      <c r="I48" s="128">
        <f t="shared" si="5"/>
        <v>1.5344000000000002</v>
      </c>
    </row>
    <row r="49" spans="2:9" ht="16.5" x14ac:dyDescent="0.45">
      <c r="B49" s="23">
        <v>44</v>
      </c>
      <c r="C49" s="130" t="s">
        <v>315</v>
      </c>
      <c r="D49" s="121">
        <v>1</v>
      </c>
      <c r="E49" s="131">
        <v>48.37</v>
      </c>
      <c r="F49" s="131">
        <f t="shared" si="2"/>
        <v>48.37</v>
      </c>
      <c r="G49" s="132">
        <v>5</v>
      </c>
      <c r="H49" s="132">
        <v>20</v>
      </c>
      <c r="I49" s="131">
        <f t="shared" si="5"/>
        <v>7.7391999999999994</v>
      </c>
    </row>
    <row r="50" spans="2:9" ht="16.5" x14ac:dyDescent="0.45">
      <c r="B50" s="23">
        <v>45</v>
      </c>
      <c r="C50" s="127" t="s">
        <v>316</v>
      </c>
      <c r="D50" s="118">
        <v>1</v>
      </c>
      <c r="E50" s="128">
        <v>50.63</v>
      </c>
      <c r="F50" s="128">
        <f t="shared" si="2"/>
        <v>50.63</v>
      </c>
      <c r="G50" s="129">
        <v>5</v>
      </c>
      <c r="H50" s="129">
        <v>20</v>
      </c>
      <c r="I50" s="128">
        <f t="shared" si="5"/>
        <v>8.1007999999999996</v>
      </c>
    </row>
    <row r="51" spans="2:9" ht="16.5" x14ac:dyDescent="0.45">
      <c r="B51" s="23">
        <v>46</v>
      </c>
      <c r="C51" s="130" t="s">
        <v>317</v>
      </c>
      <c r="D51" s="133">
        <v>1</v>
      </c>
      <c r="E51" s="134">
        <v>104.15</v>
      </c>
      <c r="F51" s="131">
        <f t="shared" si="2"/>
        <v>104.15</v>
      </c>
      <c r="G51" s="135">
        <v>5</v>
      </c>
      <c r="H51" s="135">
        <v>20</v>
      </c>
      <c r="I51" s="131">
        <f t="shared" si="5"/>
        <v>16.663999999999998</v>
      </c>
    </row>
    <row r="52" spans="2:9" ht="16.5" x14ac:dyDescent="0.45">
      <c r="B52" s="23">
        <v>47</v>
      </c>
      <c r="C52" s="127" t="s">
        <v>318</v>
      </c>
      <c r="D52" s="118">
        <v>1</v>
      </c>
      <c r="E52" s="128">
        <v>100.27</v>
      </c>
      <c r="F52" s="128">
        <f t="shared" si="2"/>
        <v>100.27</v>
      </c>
      <c r="G52" s="129">
        <v>5</v>
      </c>
      <c r="H52" s="129">
        <v>20</v>
      </c>
      <c r="I52" s="128">
        <f t="shared" si="5"/>
        <v>16.043199999999999</v>
      </c>
    </row>
    <row r="53" spans="2:9" ht="16.5" x14ac:dyDescent="0.45">
      <c r="B53" s="23">
        <v>48</v>
      </c>
      <c r="C53" s="130" t="s">
        <v>319</v>
      </c>
      <c r="D53" s="121">
        <v>1</v>
      </c>
      <c r="E53" s="131">
        <v>38.33</v>
      </c>
      <c r="F53" s="131">
        <f t="shared" si="2"/>
        <v>38.33</v>
      </c>
      <c r="G53" s="132">
        <v>5</v>
      </c>
      <c r="H53" s="132">
        <v>20</v>
      </c>
      <c r="I53" s="131">
        <f t="shared" si="5"/>
        <v>6.1327999999999996</v>
      </c>
    </row>
    <row r="54" spans="2:9" ht="16.5" x14ac:dyDescent="0.45">
      <c r="B54" s="23">
        <v>49</v>
      </c>
      <c r="C54" s="127" t="s">
        <v>320</v>
      </c>
      <c r="D54" s="118">
        <v>1</v>
      </c>
      <c r="E54" s="128">
        <v>152.36000000000001</v>
      </c>
      <c r="F54" s="128">
        <f t="shared" si="2"/>
        <v>152.36000000000001</v>
      </c>
      <c r="G54" s="129">
        <v>5</v>
      </c>
      <c r="H54" s="129">
        <v>20</v>
      </c>
      <c r="I54" s="128">
        <f t="shared" si="5"/>
        <v>24.377600000000001</v>
      </c>
    </row>
    <row r="55" spans="2:9" ht="16.5" x14ac:dyDescent="0.45">
      <c r="B55" s="23">
        <v>50</v>
      </c>
      <c r="C55" s="130" t="s">
        <v>321</v>
      </c>
      <c r="D55" s="121">
        <v>1</v>
      </c>
      <c r="E55" s="131">
        <v>16.14</v>
      </c>
      <c r="F55" s="131">
        <f t="shared" si="0"/>
        <v>16.14</v>
      </c>
      <c r="G55" s="132">
        <v>5</v>
      </c>
      <c r="H55" s="132">
        <v>20</v>
      </c>
      <c r="I55" s="131">
        <f t="shared" si="1"/>
        <v>2.5824000000000003</v>
      </c>
    </row>
    <row r="56" spans="2:9" ht="16.5" x14ac:dyDescent="0.45">
      <c r="B56" s="23">
        <v>51</v>
      </c>
      <c r="C56" s="127" t="s">
        <v>322</v>
      </c>
      <c r="D56" s="118">
        <v>1</v>
      </c>
      <c r="E56" s="128">
        <v>14.11</v>
      </c>
      <c r="F56" s="128">
        <f>E56*D56</f>
        <v>14.11</v>
      </c>
      <c r="G56" s="129">
        <v>5</v>
      </c>
      <c r="H56" s="129">
        <v>20</v>
      </c>
      <c r="I56" s="131">
        <f t="shared" si="1"/>
        <v>2.2576000000000001</v>
      </c>
    </row>
    <row r="57" spans="2:9" ht="16.5" x14ac:dyDescent="0.45">
      <c r="B57" s="23">
        <v>52</v>
      </c>
      <c r="C57" s="130" t="s">
        <v>323</v>
      </c>
      <c r="D57" s="133">
        <v>1</v>
      </c>
      <c r="E57" s="134">
        <v>54.1</v>
      </c>
      <c r="F57" s="131">
        <f t="shared" ref="F57:F60" si="6">E57*D57</f>
        <v>54.1</v>
      </c>
      <c r="G57" s="135">
        <v>5</v>
      </c>
      <c r="H57" s="135">
        <v>20</v>
      </c>
      <c r="I57" s="131">
        <f t="shared" si="1"/>
        <v>8.6560000000000006</v>
      </c>
    </row>
    <row r="58" spans="2:9" ht="16.5" x14ac:dyDescent="0.45">
      <c r="B58" s="23">
        <v>53</v>
      </c>
      <c r="C58" s="130" t="s">
        <v>324</v>
      </c>
      <c r="D58" s="121">
        <v>1</v>
      </c>
      <c r="E58" s="131">
        <v>91</v>
      </c>
      <c r="F58" s="131">
        <f t="shared" si="6"/>
        <v>91</v>
      </c>
      <c r="G58" s="132">
        <v>5</v>
      </c>
      <c r="H58" s="132">
        <v>20</v>
      </c>
      <c r="I58" s="131">
        <f t="shared" si="1"/>
        <v>14.559999999999999</v>
      </c>
    </row>
    <row r="59" spans="2:9" ht="16.5" x14ac:dyDescent="0.45">
      <c r="B59" s="23">
        <v>54</v>
      </c>
      <c r="C59" s="127" t="s">
        <v>325</v>
      </c>
      <c r="D59" s="118">
        <v>1</v>
      </c>
      <c r="E59" s="128">
        <v>8.2899999999999991</v>
      </c>
      <c r="F59" s="128">
        <f t="shared" si="6"/>
        <v>8.2899999999999991</v>
      </c>
      <c r="G59" s="129">
        <v>5</v>
      </c>
      <c r="H59" s="129">
        <v>20</v>
      </c>
      <c r="I59" s="131">
        <f t="shared" si="1"/>
        <v>1.3264</v>
      </c>
    </row>
    <row r="60" spans="2:9" ht="16.5" x14ac:dyDescent="0.45">
      <c r="B60" s="23">
        <v>55</v>
      </c>
      <c r="C60" s="130" t="s">
        <v>326</v>
      </c>
      <c r="D60" s="133">
        <v>1</v>
      </c>
      <c r="E60" s="134">
        <v>31.56</v>
      </c>
      <c r="F60" s="131">
        <f t="shared" si="6"/>
        <v>31.56</v>
      </c>
      <c r="G60" s="135">
        <v>5</v>
      </c>
      <c r="H60" s="135">
        <v>20</v>
      </c>
      <c r="I60" s="131">
        <f t="shared" si="1"/>
        <v>5.0495999999999999</v>
      </c>
    </row>
    <row r="61" spans="2:9" ht="16.5" x14ac:dyDescent="0.25">
      <c r="B61" s="167" t="s">
        <v>153</v>
      </c>
      <c r="C61" s="167"/>
      <c r="D61" s="167"/>
      <c r="E61" s="167"/>
      <c r="F61" s="167"/>
      <c r="G61" s="167"/>
      <c r="H61" s="167"/>
      <c r="I61" s="138">
        <f>SUM(I6:I60)</f>
        <v>243.25440000000003</v>
      </c>
    </row>
    <row r="62" spans="2:9" ht="16.5" x14ac:dyDescent="0.25">
      <c r="B62" s="167" t="s">
        <v>207</v>
      </c>
      <c r="C62" s="167"/>
      <c r="D62" s="167"/>
      <c r="E62" s="167"/>
      <c r="F62" s="167"/>
      <c r="G62" s="167"/>
      <c r="H62" s="167"/>
      <c r="I62" s="138">
        <f>I61/12</f>
        <v>20.271200000000004</v>
      </c>
    </row>
    <row r="68" spans="2:9" ht="49.5" x14ac:dyDescent="0.25">
      <c r="B68" s="126" t="s">
        <v>201</v>
      </c>
      <c r="C68" s="126" t="s">
        <v>202</v>
      </c>
      <c r="D68" s="126" t="s">
        <v>203</v>
      </c>
      <c r="E68" s="126" t="s">
        <v>204</v>
      </c>
      <c r="F68" s="126" t="s">
        <v>208</v>
      </c>
      <c r="G68" s="126" t="s">
        <v>209</v>
      </c>
      <c r="H68" s="126" t="s">
        <v>210</v>
      </c>
      <c r="I68" s="126" t="s">
        <v>211</v>
      </c>
    </row>
    <row r="69" spans="2:9" ht="16.5" x14ac:dyDescent="0.45">
      <c r="B69" s="23">
        <v>1</v>
      </c>
      <c r="C69" s="127" t="s">
        <v>327</v>
      </c>
      <c r="D69" s="118">
        <v>1</v>
      </c>
      <c r="E69" s="128">
        <v>356.77</v>
      </c>
      <c r="F69" s="128">
        <f t="shared" ref="F69:F123" si="7">D69*E69</f>
        <v>356.77</v>
      </c>
      <c r="G69" s="129">
        <v>5</v>
      </c>
      <c r="H69" s="129">
        <v>20</v>
      </c>
      <c r="I69" s="128">
        <f>(((F69*(100-H69)/100)/(G69)))</f>
        <v>57.083199999999998</v>
      </c>
    </row>
    <row r="70" spans="2:9" ht="16.5" x14ac:dyDescent="0.45">
      <c r="B70" s="23">
        <v>2</v>
      </c>
      <c r="C70" s="130" t="s">
        <v>328</v>
      </c>
      <c r="D70" s="121">
        <v>1</v>
      </c>
      <c r="E70" s="131">
        <v>91</v>
      </c>
      <c r="F70" s="131">
        <f t="shared" si="7"/>
        <v>91</v>
      </c>
      <c r="G70" s="132">
        <v>5</v>
      </c>
      <c r="H70" s="132">
        <v>20</v>
      </c>
      <c r="I70" s="131">
        <f t="shared" ref="I70:I86" si="8">(((F70*(100-H70)/100)/G70))</f>
        <v>14.559999999999999</v>
      </c>
    </row>
    <row r="71" spans="2:9" ht="16.5" x14ac:dyDescent="0.45">
      <c r="B71" s="23">
        <v>3</v>
      </c>
      <c r="C71" s="127" t="s">
        <v>329</v>
      </c>
      <c r="D71" s="118">
        <v>1</v>
      </c>
      <c r="E71" s="128">
        <v>32.21</v>
      </c>
      <c r="F71" s="128">
        <f t="shared" si="7"/>
        <v>32.21</v>
      </c>
      <c r="G71" s="129">
        <v>5</v>
      </c>
      <c r="H71" s="129">
        <v>20</v>
      </c>
      <c r="I71" s="128">
        <f t="shared" si="8"/>
        <v>5.1536</v>
      </c>
    </row>
    <row r="72" spans="2:9" ht="16.5" x14ac:dyDescent="0.45">
      <c r="B72" s="23">
        <v>4</v>
      </c>
      <c r="C72" s="130" t="s">
        <v>330</v>
      </c>
      <c r="D72" s="121">
        <v>1</v>
      </c>
      <c r="E72" s="131">
        <v>15.95</v>
      </c>
      <c r="F72" s="131">
        <f t="shared" si="7"/>
        <v>15.95</v>
      </c>
      <c r="G72" s="132">
        <v>5</v>
      </c>
      <c r="H72" s="132">
        <v>20</v>
      </c>
      <c r="I72" s="131">
        <f t="shared" si="8"/>
        <v>2.552</v>
      </c>
    </row>
    <row r="73" spans="2:9" ht="16.5" x14ac:dyDescent="0.45">
      <c r="B73" s="23">
        <v>5</v>
      </c>
      <c r="C73" s="127" t="s">
        <v>331</v>
      </c>
      <c r="D73" s="118">
        <v>1</v>
      </c>
      <c r="E73" s="128">
        <v>21.62</v>
      </c>
      <c r="F73" s="128">
        <f t="shared" si="7"/>
        <v>21.62</v>
      </c>
      <c r="G73" s="129">
        <v>5</v>
      </c>
      <c r="H73" s="129">
        <v>20</v>
      </c>
      <c r="I73" s="128">
        <f t="shared" si="8"/>
        <v>3.4592000000000005</v>
      </c>
    </row>
    <row r="74" spans="2:9" ht="16.5" x14ac:dyDescent="0.45">
      <c r="B74" s="23">
        <v>6</v>
      </c>
      <c r="C74" s="130" t="s">
        <v>332</v>
      </c>
      <c r="D74" s="121">
        <v>1</v>
      </c>
      <c r="E74" s="131">
        <v>43.2</v>
      </c>
      <c r="F74" s="131">
        <f t="shared" si="7"/>
        <v>43.2</v>
      </c>
      <c r="G74" s="132">
        <v>5</v>
      </c>
      <c r="H74" s="132">
        <v>20</v>
      </c>
      <c r="I74" s="131">
        <f t="shared" si="8"/>
        <v>6.9120000000000008</v>
      </c>
    </row>
    <row r="75" spans="2:9" ht="16.5" x14ac:dyDescent="0.45">
      <c r="B75" s="23">
        <v>7</v>
      </c>
      <c r="C75" s="127" t="s">
        <v>333</v>
      </c>
      <c r="D75" s="118">
        <v>1</v>
      </c>
      <c r="E75" s="128">
        <v>33.01</v>
      </c>
      <c r="F75" s="128">
        <f t="shared" si="7"/>
        <v>33.01</v>
      </c>
      <c r="G75" s="129">
        <v>5</v>
      </c>
      <c r="H75" s="129">
        <v>20</v>
      </c>
      <c r="I75" s="128">
        <f t="shared" si="8"/>
        <v>5.2815999999999992</v>
      </c>
    </row>
    <row r="76" spans="2:9" ht="16.5" x14ac:dyDescent="0.45">
      <c r="B76" s="23">
        <v>8</v>
      </c>
      <c r="C76" s="130" t="s">
        <v>334</v>
      </c>
      <c r="D76" s="133">
        <v>1</v>
      </c>
      <c r="E76" s="134">
        <v>43.16</v>
      </c>
      <c r="F76" s="131">
        <f t="shared" si="7"/>
        <v>43.16</v>
      </c>
      <c r="G76" s="135">
        <v>5</v>
      </c>
      <c r="H76" s="135">
        <v>20</v>
      </c>
      <c r="I76" s="131">
        <f t="shared" si="8"/>
        <v>6.9055999999999997</v>
      </c>
    </row>
    <row r="77" spans="2:9" ht="16.5" x14ac:dyDescent="0.45">
      <c r="B77" s="23">
        <v>9</v>
      </c>
      <c r="C77" s="127" t="s">
        <v>335</v>
      </c>
      <c r="D77" s="118">
        <v>1</v>
      </c>
      <c r="E77" s="128">
        <v>404</v>
      </c>
      <c r="F77" s="128">
        <f t="shared" si="7"/>
        <v>404</v>
      </c>
      <c r="G77" s="129">
        <v>5</v>
      </c>
      <c r="H77" s="129">
        <v>20</v>
      </c>
      <c r="I77" s="128">
        <f t="shared" si="8"/>
        <v>64.64</v>
      </c>
    </row>
    <row r="78" spans="2:9" ht="16.5" x14ac:dyDescent="0.45">
      <c r="B78" s="23">
        <v>10</v>
      </c>
      <c r="C78" s="130" t="s">
        <v>336</v>
      </c>
      <c r="D78" s="121">
        <v>1</v>
      </c>
      <c r="E78" s="131">
        <v>16.14</v>
      </c>
      <c r="F78" s="131">
        <f t="shared" si="7"/>
        <v>16.14</v>
      </c>
      <c r="G78" s="132">
        <v>5</v>
      </c>
      <c r="H78" s="132">
        <v>20</v>
      </c>
      <c r="I78" s="131">
        <f t="shared" si="8"/>
        <v>2.5824000000000003</v>
      </c>
    </row>
    <row r="79" spans="2:9" ht="16.5" x14ac:dyDescent="0.45">
      <c r="B79" s="23">
        <v>11</v>
      </c>
      <c r="C79" s="127" t="s">
        <v>337</v>
      </c>
      <c r="D79" s="118">
        <v>1</v>
      </c>
      <c r="E79" s="128">
        <v>6.5</v>
      </c>
      <c r="F79" s="128">
        <f t="shared" si="7"/>
        <v>6.5</v>
      </c>
      <c r="G79" s="129">
        <v>5</v>
      </c>
      <c r="H79" s="129">
        <v>20</v>
      </c>
      <c r="I79" s="128">
        <f t="shared" si="8"/>
        <v>1.04</v>
      </c>
    </row>
    <row r="80" spans="2:9" ht="16.5" x14ac:dyDescent="0.45">
      <c r="B80" s="23">
        <v>12</v>
      </c>
      <c r="C80" s="130" t="s">
        <v>338</v>
      </c>
      <c r="D80" s="121">
        <v>1</v>
      </c>
      <c r="E80" s="131">
        <v>9.4</v>
      </c>
      <c r="F80" s="131">
        <f t="shared" si="7"/>
        <v>9.4</v>
      </c>
      <c r="G80" s="132">
        <v>5</v>
      </c>
      <c r="H80" s="132">
        <v>20</v>
      </c>
      <c r="I80" s="131">
        <f t="shared" si="8"/>
        <v>1.504</v>
      </c>
    </row>
    <row r="81" spans="2:9" ht="16.5" x14ac:dyDescent="0.45">
      <c r="B81" s="23">
        <v>13</v>
      </c>
      <c r="C81" s="127" t="s">
        <v>339</v>
      </c>
      <c r="D81" s="118">
        <v>1</v>
      </c>
      <c r="E81" s="128">
        <v>11.04</v>
      </c>
      <c r="F81" s="128">
        <f t="shared" si="7"/>
        <v>11.04</v>
      </c>
      <c r="G81" s="129">
        <v>5</v>
      </c>
      <c r="H81" s="129">
        <v>20</v>
      </c>
      <c r="I81" s="128">
        <f t="shared" si="8"/>
        <v>1.7663999999999997</v>
      </c>
    </row>
    <row r="82" spans="2:9" ht="16.5" x14ac:dyDescent="0.45">
      <c r="B82" s="23">
        <v>14</v>
      </c>
      <c r="C82" s="130" t="s">
        <v>340</v>
      </c>
      <c r="D82" s="121">
        <v>1</v>
      </c>
      <c r="E82" s="131">
        <v>11.96</v>
      </c>
      <c r="F82" s="131">
        <f t="shared" si="7"/>
        <v>11.96</v>
      </c>
      <c r="G82" s="132">
        <v>5</v>
      </c>
      <c r="H82" s="132">
        <v>20</v>
      </c>
      <c r="I82" s="131">
        <f t="shared" si="8"/>
        <v>1.9136000000000002</v>
      </c>
    </row>
    <row r="83" spans="2:9" ht="16.5" x14ac:dyDescent="0.45">
      <c r="B83" s="23">
        <v>15</v>
      </c>
      <c r="C83" s="127" t="s">
        <v>341</v>
      </c>
      <c r="D83" s="118">
        <v>1</v>
      </c>
      <c r="E83" s="128">
        <v>34.99</v>
      </c>
      <c r="F83" s="128">
        <f t="shared" si="7"/>
        <v>34.99</v>
      </c>
      <c r="G83" s="129">
        <v>5</v>
      </c>
      <c r="H83" s="129">
        <v>20</v>
      </c>
      <c r="I83" s="128">
        <f t="shared" si="8"/>
        <v>5.5984000000000007</v>
      </c>
    </row>
    <row r="84" spans="2:9" ht="16.5" x14ac:dyDescent="0.45">
      <c r="B84" s="23">
        <v>16</v>
      </c>
      <c r="C84" s="130" t="s">
        <v>342</v>
      </c>
      <c r="D84" s="121">
        <v>1</v>
      </c>
      <c r="E84" s="131">
        <v>30.79</v>
      </c>
      <c r="F84" s="131">
        <f t="shared" si="7"/>
        <v>30.79</v>
      </c>
      <c r="G84" s="132">
        <v>5</v>
      </c>
      <c r="H84" s="132">
        <v>20</v>
      </c>
      <c r="I84" s="131">
        <f t="shared" si="8"/>
        <v>4.9263999999999992</v>
      </c>
    </row>
    <row r="85" spans="2:9" ht="16.5" x14ac:dyDescent="0.45">
      <c r="B85" s="23">
        <v>17</v>
      </c>
      <c r="C85" s="127" t="s">
        <v>343</v>
      </c>
      <c r="D85" s="118">
        <v>1</v>
      </c>
      <c r="E85" s="128">
        <v>37.520000000000003</v>
      </c>
      <c r="F85" s="128">
        <f t="shared" si="7"/>
        <v>37.520000000000003</v>
      </c>
      <c r="G85" s="129">
        <v>5</v>
      </c>
      <c r="H85" s="129">
        <v>20</v>
      </c>
      <c r="I85" s="128">
        <f t="shared" si="8"/>
        <v>6.0032000000000014</v>
      </c>
    </row>
    <row r="86" spans="2:9" ht="16.5" x14ac:dyDescent="0.45">
      <c r="B86" s="23">
        <v>18</v>
      </c>
      <c r="C86" s="130" t="s">
        <v>344</v>
      </c>
      <c r="D86" s="121">
        <v>1</v>
      </c>
      <c r="E86" s="131">
        <v>37.57</v>
      </c>
      <c r="F86" s="131">
        <f t="shared" si="7"/>
        <v>37.57</v>
      </c>
      <c r="G86" s="132">
        <v>5</v>
      </c>
      <c r="H86" s="132">
        <v>20</v>
      </c>
      <c r="I86" s="131">
        <f t="shared" si="8"/>
        <v>6.0111999999999997</v>
      </c>
    </row>
    <row r="87" spans="2:9" ht="16.5" x14ac:dyDescent="0.45">
      <c r="B87" s="23">
        <v>19</v>
      </c>
      <c r="C87" s="127" t="s">
        <v>345</v>
      </c>
      <c r="D87" s="118">
        <v>1</v>
      </c>
      <c r="E87" s="128">
        <v>15</v>
      </c>
      <c r="F87" s="128">
        <f t="shared" si="7"/>
        <v>15</v>
      </c>
      <c r="G87" s="129">
        <v>5</v>
      </c>
      <c r="H87" s="129">
        <v>20</v>
      </c>
      <c r="I87" s="128">
        <f>(((F87*(100-H87)/100)/(G87)))</f>
        <v>2.4</v>
      </c>
    </row>
    <row r="88" spans="2:9" ht="16.5" x14ac:dyDescent="0.45">
      <c r="B88" s="23">
        <v>20</v>
      </c>
      <c r="C88" s="130" t="s">
        <v>346</v>
      </c>
      <c r="D88" s="121">
        <v>1</v>
      </c>
      <c r="E88" s="131">
        <v>33.06</v>
      </c>
      <c r="F88" s="131">
        <f t="shared" si="7"/>
        <v>33.06</v>
      </c>
      <c r="G88" s="132">
        <v>5</v>
      </c>
      <c r="H88" s="132">
        <v>20</v>
      </c>
      <c r="I88" s="131">
        <f t="shared" ref="I88:I96" si="9">(((F88*(100-H88)/100)/G88))</f>
        <v>5.2896000000000001</v>
      </c>
    </row>
    <row r="89" spans="2:9" ht="16.5" x14ac:dyDescent="0.45">
      <c r="B89" s="23">
        <v>21</v>
      </c>
      <c r="C89" s="127" t="s">
        <v>347</v>
      </c>
      <c r="D89" s="118">
        <v>1</v>
      </c>
      <c r="E89" s="128">
        <v>209.99</v>
      </c>
      <c r="F89" s="128">
        <f t="shared" si="7"/>
        <v>209.99</v>
      </c>
      <c r="G89" s="129">
        <v>5</v>
      </c>
      <c r="H89" s="129">
        <v>20</v>
      </c>
      <c r="I89" s="128">
        <f t="shared" si="9"/>
        <v>33.598400000000005</v>
      </c>
    </row>
    <row r="90" spans="2:9" ht="16.5" x14ac:dyDescent="0.45">
      <c r="B90" s="23">
        <v>22</v>
      </c>
      <c r="C90" s="130" t="s">
        <v>348</v>
      </c>
      <c r="D90" s="121">
        <v>1</v>
      </c>
      <c r="E90" s="131">
        <v>5.91</v>
      </c>
      <c r="F90" s="131">
        <f t="shared" si="7"/>
        <v>5.91</v>
      </c>
      <c r="G90" s="132">
        <v>5</v>
      </c>
      <c r="H90" s="132">
        <v>20</v>
      </c>
      <c r="I90" s="131">
        <f t="shared" si="9"/>
        <v>0.9456</v>
      </c>
    </row>
    <row r="91" spans="2:9" ht="16.5" x14ac:dyDescent="0.45">
      <c r="B91" s="23">
        <v>23</v>
      </c>
      <c r="C91" s="127" t="s">
        <v>349</v>
      </c>
      <c r="D91" s="118">
        <v>1</v>
      </c>
      <c r="E91" s="128">
        <v>37.26</v>
      </c>
      <c r="F91" s="128">
        <f t="shared" si="7"/>
        <v>37.26</v>
      </c>
      <c r="G91" s="129">
        <v>5</v>
      </c>
      <c r="H91" s="129">
        <v>20</v>
      </c>
      <c r="I91" s="128">
        <f t="shared" si="9"/>
        <v>5.9615999999999989</v>
      </c>
    </row>
    <row r="92" spans="2:9" ht="16.5" x14ac:dyDescent="0.45">
      <c r="B92" s="23">
        <v>24</v>
      </c>
      <c r="C92" s="130" t="s">
        <v>350</v>
      </c>
      <c r="D92" s="121">
        <v>1</v>
      </c>
      <c r="E92" s="131">
        <v>7.11</v>
      </c>
      <c r="F92" s="131">
        <f t="shared" si="7"/>
        <v>7.11</v>
      </c>
      <c r="G92" s="132">
        <v>5</v>
      </c>
      <c r="H92" s="132">
        <v>20</v>
      </c>
      <c r="I92" s="131">
        <f t="shared" si="9"/>
        <v>1.1376000000000002</v>
      </c>
    </row>
    <row r="93" spans="2:9" ht="16.5" x14ac:dyDescent="0.45">
      <c r="B93" s="23">
        <v>25</v>
      </c>
      <c r="C93" s="127" t="s">
        <v>351</v>
      </c>
      <c r="D93" s="118">
        <v>1</v>
      </c>
      <c r="E93" s="128">
        <v>12.02</v>
      </c>
      <c r="F93" s="128">
        <f t="shared" si="7"/>
        <v>12.02</v>
      </c>
      <c r="G93" s="129">
        <v>5</v>
      </c>
      <c r="H93" s="129">
        <v>20</v>
      </c>
      <c r="I93" s="128">
        <f t="shared" si="9"/>
        <v>1.9232</v>
      </c>
    </row>
    <row r="94" spans="2:9" ht="16.5" x14ac:dyDescent="0.45">
      <c r="B94" s="23">
        <v>26</v>
      </c>
      <c r="C94" s="130" t="s">
        <v>352</v>
      </c>
      <c r="D94" s="133">
        <v>1</v>
      </c>
      <c r="E94" s="134">
        <v>9.6199999999999992</v>
      </c>
      <c r="F94" s="131">
        <f t="shared" si="7"/>
        <v>9.6199999999999992</v>
      </c>
      <c r="G94" s="135">
        <v>5</v>
      </c>
      <c r="H94" s="135">
        <v>20</v>
      </c>
      <c r="I94" s="131">
        <f t="shared" si="9"/>
        <v>1.5391999999999997</v>
      </c>
    </row>
    <row r="95" spans="2:9" ht="16.5" x14ac:dyDescent="0.45">
      <c r="B95" s="23">
        <v>27</v>
      </c>
      <c r="C95" s="127" t="s">
        <v>353</v>
      </c>
      <c r="D95" s="118">
        <v>1</v>
      </c>
      <c r="E95" s="128">
        <v>6.38</v>
      </c>
      <c r="F95" s="128">
        <f t="shared" si="7"/>
        <v>6.38</v>
      </c>
      <c r="G95" s="129">
        <v>5</v>
      </c>
      <c r="H95" s="129">
        <v>20</v>
      </c>
      <c r="I95" s="128">
        <f t="shared" si="9"/>
        <v>1.0207999999999999</v>
      </c>
    </row>
    <row r="96" spans="2:9" ht="16.5" x14ac:dyDescent="0.45">
      <c r="B96" s="23">
        <v>28</v>
      </c>
      <c r="C96" s="130" t="s">
        <v>354</v>
      </c>
      <c r="D96" s="121">
        <v>1</v>
      </c>
      <c r="E96" s="131">
        <v>13.63</v>
      </c>
      <c r="F96" s="131">
        <f t="shared" si="7"/>
        <v>13.63</v>
      </c>
      <c r="G96" s="132">
        <v>5</v>
      </c>
      <c r="H96" s="132">
        <v>20</v>
      </c>
      <c r="I96" s="131">
        <f t="shared" si="9"/>
        <v>2.1808000000000005</v>
      </c>
    </row>
    <row r="97" spans="2:9" ht="16.5" x14ac:dyDescent="0.45">
      <c r="B97" s="23">
        <v>29</v>
      </c>
      <c r="C97" s="127" t="s">
        <v>355</v>
      </c>
      <c r="D97" s="118">
        <v>1</v>
      </c>
      <c r="E97" s="128">
        <v>36</v>
      </c>
      <c r="F97" s="128">
        <f t="shared" si="7"/>
        <v>36</v>
      </c>
      <c r="G97" s="129">
        <v>5</v>
      </c>
      <c r="H97" s="129">
        <v>20</v>
      </c>
      <c r="I97" s="128">
        <f>(((F97*(100-H97)/100)/(G97)))</f>
        <v>5.76</v>
      </c>
    </row>
    <row r="98" spans="2:9" ht="16.5" x14ac:dyDescent="0.45">
      <c r="B98" s="23">
        <v>30</v>
      </c>
      <c r="C98" s="130" t="s">
        <v>356</v>
      </c>
      <c r="D98" s="121">
        <v>1</v>
      </c>
      <c r="E98" s="131">
        <v>7</v>
      </c>
      <c r="F98" s="131">
        <f t="shared" si="7"/>
        <v>7</v>
      </c>
      <c r="G98" s="132">
        <v>5</v>
      </c>
      <c r="H98" s="132">
        <v>20</v>
      </c>
      <c r="I98" s="131">
        <f t="shared" ref="I98:I106" si="10">(((F98*(100-H98)/100)/G98))</f>
        <v>1.1199999999999999</v>
      </c>
    </row>
    <row r="99" spans="2:9" ht="16.5" x14ac:dyDescent="0.45">
      <c r="B99" s="23">
        <v>31</v>
      </c>
      <c r="C99" s="127" t="s">
        <v>357</v>
      </c>
      <c r="D99" s="118">
        <v>1</v>
      </c>
      <c r="E99" s="128">
        <v>12.09</v>
      </c>
      <c r="F99" s="128">
        <f t="shared" si="7"/>
        <v>12.09</v>
      </c>
      <c r="G99" s="129">
        <v>5</v>
      </c>
      <c r="H99" s="129">
        <v>20</v>
      </c>
      <c r="I99" s="128">
        <f t="shared" si="10"/>
        <v>1.9344000000000001</v>
      </c>
    </row>
    <row r="100" spans="2:9" ht="16.5" x14ac:dyDescent="0.45">
      <c r="B100" s="23">
        <v>32</v>
      </c>
      <c r="C100" s="130" t="s">
        <v>358</v>
      </c>
      <c r="D100" s="121">
        <v>1</v>
      </c>
      <c r="E100" s="131">
        <v>298.95</v>
      </c>
      <c r="F100" s="131">
        <f t="shared" si="7"/>
        <v>298.95</v>
      </c>
      <c r="G100" s="132">
        <v>5</v>
      </c>
      <c r="H100" s="132">
        <v>20</v>
      </c>
      <c r="I100" s="131">
        <f t="shared" si="10"/>
        <v>47.832000000000001</v>
      </c>
    </row>
    <row r="101" spans="2:9" ht="16.5" x14ac:dyDescent="0.45">
      <c r="B101" s="23">
        <v>33</v>
      </c>
      <c r="C101" s="127" t="s">
        <v>359</v>
      </c>
      <c r="D101" s="118">
        <v>1</v>
      </c>
      <c r="E101" s="128">
        <v>561.61</v>
      </c>
      <c r="F101" s="128">
        <f t="shared" si="7"/>
        <v>561.61</v>
      </c>
      <c r="G101" s="129">
        <v>5</v>
      </c>
      <c r="H101" s="129">
        <v>20</v>
      </c>
      <c r="I101" s="128">
        <f t="shared" si="10"/>
        <v>89.857600000000005</v>
      </c>
    </row>
    <row r="102" spans="2:9" ht="16.5" x14ac:dyDescent="0.45">
      <c r="B102" s="23">
        <v>34</v>
      </c>
      <c r="C102" s="130" t="s">
        <v>360</v>
      </c>
      <c r="D102" s="121">
        <v>1</v>
      </c>
      <c r="E102" s="131">
        <v>516.61</v>
      </c>
      <c r="F102" s="131">
        <f t="shared" si="7"/>
        <v>516.61</v>
      </c>
      <c r="G102" s="132">
        <v>5</v>
      </c>
      <c r="H102" s="132">
        <v>20</v>
      </c>
      <c r="I102" s="131">
        <f t="shared" si="10"/>
        <v>82.657600000000002</v>
      </c>
    </row>
    <row r="103" spans="2:9" ht="16.5" x14ac:dyDescent="0.45">
      <c r="B103" s="23">
        <v>35</v>
      </c>
      <c r="C103" s="127" t="s">
        <v>361</v>
      </c>
      <c r="D103" s="118">
        <v>1</v>
      </c>
      <c r="E103" s="128">
        <v>6.9</v>
      </c>
      <c r="F103" s="128">
        <f t="shared" si="7"/>
        <v>6.9</v>
      </c>
      <c r="G103" s="129">
        <v>5</v>
      </c>
      <c r="H103" s="129">
        <v>20</v>
      </c>
      <c r="I103" s="128">
        <f t="shared" si="10"/>
        <v>1.1039999999999999</v>
      </c>
    </row>
    <row r="104" spans="2:9" ht="16.5" x14ac:dyDescent="0.45">
      <c r="B104" s="23">
        <v>36</v>
      </c>
      <c r="C104" s="130" t="s">
        <v>362</v>
      </c>
      <c r="D104" s="133">
        <v>1</v>
      </c>
      <c r="E104" s="134">
        <v>14.11</v>
      </c>
      <c r="F104" s="131">
        <f t="shared" si="7"/>
        <v>14.11</v>
      </c>
      <c r="G104" s="135">
        <v>5</v>
      </c>
      <c r="H104" s="135">
        <v>20</v>
      </c>
      <c r="I104" s="131">
        <f t="shared" si="10"/>
        <v>2.2576000000000001</v>
      </c>
    </row>
    <row r="105" spans="2:9" ht="16.5" x14ac:dyDescent="0.45">
      <c r="B105" s="23">
        <v>37</v>
      </c>
      <c r="C105" s="127" t="s">
        <v>363</v>
      </c>
      <c r="D105" s="118">
        <v>1</v>
      </c>
      <c r="E105" s="128">
        <v>79.989999999999995</v>
      </c>
      <c r="F105" s="128">
        <f t="shared" si="7"/>
        <v>79.989999999999995</v>
      </c>
      <c r="G105" s="129">
        <v>5</v>
      </c>
      <c r="H105" s="129">
        <v>20</v>
      </c>
      <c r="I105" s="128">
        <f t="shared" si="10"/>
        <v>12.798399999999999</v>
      </c>
    </row>
    <row r="106" spans="2:9" ht="16.5" x14ac:dyDescent="0.45">
      <c r="B106" s="23">
        <v>38</v>
      </c>
      <c r="C106" s="130" t="s">
        <v>364</v>
      </c>
      <c r="D106" s="121">
        <v>1</v>
      </c>
      <c r="E106" s="131">
        <v>18.8</v>
      </c>
      <c r="F106" s="131">
        <f t="shared" si="7"/>
        <v>18.8</v>
      </c>
      <c r="G106" s="132">
        <v>5</v>
      </c>
      <c r="H106" s="132">
        <v>20</v>
      </c>
      <c r="I106" s="131">
        <f t="shared" si="10"/>
        <v>3.008</v>
      </c>
    </row>
    <row r="107" spans="2:9" ht="16.5" x14ac:dyDescent="0.45">
      <c r="B107" s="23">
        <v>39</v>
      </c>
      <c r="C107" s="127" t="s">
        <v>365</v>
      </c>
      <c r="D107" s="118">
        <v>1</v>
      </c>
      <c r="E107" s="128">
        <v>395.97</v>
      </c>
      <c r="F107" s="128">
        <f t="shared" si="7"/>
        <v>395.97</v>
      </c>
      <c r="G107" s="129">
        <v>5</v>
      </c>
      <c r="H107" s="129">
        <v>20</v>
      </c>
      <c r="I107" s="128">
        <f>(((F107*(100-H107)/100)/(G107)))</f>
        <v>63.355200000000004</v>
      </c>
    </row>
    <row r="108" spans="2:9" ht="16.5" x14ac:dyDescent="0.45">
      <c r="B108" s="23">
        <v>40</v>
      </c>
      <c r="C108" s="130" t="s">
        <v>366</v>
      </c>
      <c r="D108" s="121">
        <v>1</v>
      </c>
      <c r="E108" s="131">
        <v>899.9</v>
      </c>
      <c r="F108" s="131">
        <f t="shared" si="7"/>
        <v>899.9</v>
      </c>
      <c r="G108" s="132">
        <v>5</v>
      </c>
      <c r="H108" s="132">
        <v>20</v>
      </c>
      <c r="I108" s="131">
        <f t="shared" ref="I108:I127" si="11">(((F108*(100-H108)/100)/G108))</f>
        <v>143.98399999999998</v>
      </c>
    </row>
    <row r="109" spans="2:9" ht="16.5" x14ac:dyDescent="0.45">
      <c r="B109" s="23">
        <v>41</v>
      </c>
      <c r="C109" s="127" t="s">
        <v>367</v>
      </c>
      <c r="D109" s="118">
        <v>1</v>
      </c>
      <c r="E109" s="128">
        <v>487.63</v>
      </c>
      <c r="F109" s="128">
        <f t="shared" si="7"/>
        <v>487.63</v>
      </c>
      <c r="G109" s="129">
        <v>5</v>
      </c>
      <c r="H109" s="129">
        <v>20</v>
      </c>
      <c r="I109" s="128">
        <f t="shared" si="11"/>
        <v>78.020800000000008</v>
      </c>
    </row>
    <row r="110" spans="2:9" ht="16.5" x14ac:dyDescent="0.45">
      <c r="B110" s="23">
        <v>42</v>
      </c>
      <c r="C110" s="130" t="s">
        <v>271</v>
      </c>
      <c r="D110" s="121">
        <v>1</v>
      </c>
      <c r="E110" s="131">
        <v>184.08</v>
      </c>
      <c r="F110" s="131">
        <f t="shared" si="7"/>
        <v>184.08</v>
      </c>
      <c r="G110" s="132">
        <v>5</v>
      </c>
      <c r="H110" s="132">
        <v>20</v>
      </c>
      <c r="I110" s="131">
        <f t="shared" si="11"/>
        <v>29.452800000000003</v>
      </c>
    </row>
    <row r="111" spans="2:9" ht="16.5" x14ac:dyDescent="0.45">
      <c r="B111" s="23">
        <v>43</v>
      </c>
      <c r="C111" s="127" t="s">
        <v>368</v>
      </c>
      <c r="D111" s="118">
        <v>1</v>
      </c>
      <c r="E111" s="128">
        <v>203</v>
      </c>
      <c r="F111" s="128">
        <f t="shared" si="7"/>
        <v>203</v>
      </c>
      <c r="G111" s="129">
        <v>5</v>
      </c>
      <c r="H111" s="129">
        <v>20</v>
      </c>
      <c r="I111" s="128">
        <f t="shared" si="11"/>
        <v>32.480000000000004</v>
      </c>
    </row>
    <row r="112" spans="2:9" ht="16.5" x14ac:dyDescent="0.45">
      <c r="B112" s="23">
        <v>44</v>
      </c>
      <c r="C112" s="130" t="s">
        <v>369</v>
      </c>
      <c r="D112" s="121">
        <v>1</v>
      </c>
      <c r="E112" s="131">
        <v>36.1</v>
      </c>
      <c r="F112" s="131">
        <f t="shared" si="7"/>
        <v>36.1</v>
      </c>
      <c r="G112" s="132">
        <v>5</v>
      </c>
      <c r="H112" s="132">
        <v>20</v>
      </c>
      <c r="I112" s="131">
        <f t="shared" si="11"/>
        <v>5.7759999999999998</v>
      </c>
    </row>
    <row r="113" spans="2:9" ht="16.5" x14ac:dyDescent="0.45">
      <c r="B113" s="23">
        <v>45</v>
      </c>
      <c r="C113" s="127" t="s">
        <v>370</v>
      </c>
      <c r="D113" s="118">
        <v>1</v>
      </c>
      <c r="E113" s="128">
        <v>63.95</v>
      </c>
      <c r="F113" s="128">
        <f t="shared" si="7"/>
        <v>63.95</v>
      </c>
      <c r="G113" s="129">
        <v>5</v>
      </c>
      <c r="H113" s="129">
        <v>20</v>
      </c>
      <c r="I113" s="128">
        <f t="shared" si="11"/>
        <v>10.231999999999999</v>
      </c>
    </row>
    <row r="114" spans="2:9" ht="16.5" x14ac:dyDescent="0.45">
      <c r="B114" s="23">
        <v>46</v>
      </c>
      <c r="C114" s="130" t="s">
        <v>371</v>
      </c>
      <c r="D114" s="133">
        <v>1</v>
      </c>
      <c r="E114" s="134">
        <v>591.80999999999995</v>
      </c>
      <c r="F114" s="131">
        <f t="shared" si="7"/>
        <v>591.80999999999995</v>
      </c>
      <c r="G114" s="135">
        <v>5</v>
      </c>
      <c r="H114" s="135">
        <v>20</v>
      </c>
      <c r="I114" s="131">
        <f t="shared" si="11"/>
        <v>94.689599999999999</v>
      </c>
    </row>
    <row r="115" spans="2:9" ht="16.5" x14ac:dyDescent="0.45">
      <c r="B115" s="23">
        <v>47</v>
      </c>
      <c r="C115" s="127" t="s">
        <v>372</v>
      </c>
      <c r="D115" s="118">
        <v>1</v>
      </c>
      <c r="E115" s="128">
        <v>66.52</v>
      </c>
      <c r="F115" s="128">
        <f t="shared" ref="F115:F123" si="12">D115*E115</f>
        <v>66.52</v>
      </c>
      <c r="G115" s="129">
        <v>5</v>
      </c>
      <c r="H115" s="129">
        <v>20</v>
      </c>
      <c r="I115" s="128">
        <f>(((F115*(100-H115)/100)/(G115)))</f>
        <v>10.643199999999998</v>
      </c>
    </row>
    <row r="116" spans="2:9" ht="16.5" x14ac:dyDescent="0.45">
      <c r="B116" s="23">
        <v>48</v>
      </c>
      <c r="C116" s="130" t="s">
        <v>373</v>
      </c>
      <c r="D116" s="121">
        <v>1</v>
      </c>
      <c r="E116" s="131">
        <v>150</v>
      </c>
      <c r="F116" s="131">
        <f t="shared" si="12"/>
        <v>150</v>
      </c>
      <c r="G116" s="132">
        <v>5</v>
      </c>
      <c r="H116" s="132">
        <v>20</v>
      </c>
      <c r="I116" s="131">
        <f t="shared" ref="I116:I123" si="13">(((F116*(100-H116)/100)/G116))</f>
        <v>24</v>
      </c>
    </row>
    <row r="117" spans="2:9" ht="16.5" x14ac:dyDescent="0.45">
      <c r="B117" s="23">
        <v>49</v>
      </c>
      <c r="C117" s="127" t="s">
        <v>374</v>
      </c>
      <c r="D117" s="118">
        <v>1</v>
      </c>
      <c r="E117" s="128">
        <v>122.93</v>
      </c>
      <c r="F117" s="128">
        <f t="shared" si="12"/>
        <v>122.93</v>
      </c>
      <c r="G117" s="129">
        <v>5</v>
      </c>
      <c r="H117" s="129">
        <v>20</v>
      </c>
      <c r="I117" s="128">
        <f t="shared" si="13"/>
        <v>19.668800000000001</v>
      </c>
    </row>
    <row r="118" spans="2:9" ht="16.5" x14ac:dyDescent="0.45">
      <c r="B118" s="23">
        <v>50</v>
      </c>
      <c r="C118" s="130" t="s">
        <v>375</v>
      </c>
      <c r="D118" s="121">
        <v>1</v>
      </c>
      <c r="E118" s="131">
        <v>50</v>
      </c>
      <c r="F118" s="131">
        <f t="shared" si="12"/>
        <v>50</v>
      </c>
      <c r="G118" s="132">
        <v>5</v>
      </c>
      <c r="H118" s="132">
        <v>20</v>
      </c>
      <c r="I118" s="131">
        <f t="shared" si="13"/>
        <v>8</v>
      </c>
    </row>
    <row r="119" spans="2:9" ht="16.5" x14ac:dyDescent="0.45">
      <c r="B119" s="23">
        <v>51</v>
      </c>
      <c r="C119" s="127" t="s">
        <v>318</v>
      </c>
      <c r="D119" s="118">
        <v>1</v>
      </c>
      <c r="E119" s="128">
        <v>98.93</v>
      </c>
      <c r="F119" s="128">
        <f t="shared" si="12"/>
        <v>98.93</v>
      </c>
      <c r="G119" s="129">
        <v>5</v>
      </c>
      <c r="H119" s="129">
        <v>20</v>
      </c>
      <c r="I119" s="128">
        <f t="shared" si="13"/>
        <v>15.828800000000001</v>
      </c>
    </row>
    <row r="120" spans="2:9" ht="16.5" x14ac:dyDescent="0.45">
      <c r="B120" s="23">
        <v>52</v>
      </c>
      <c r="C120" s="130" t="s">
        <v>376</v>
      </c>
      <c r="D120" s="121">
        <v>1</v>
      </c>
      <c r="E120" s="131">
        <v>38.33</v>
      </c>
      <c r="F120" s="131">
        <f t="shared" si="12"/>
        <v>38.33</v>
      </c>
      <c r="G120" s="132">
        <v>5</v>
      </c>
      <c r="H120" s="132">
        <v>20</v>
      </c>
      <c r="I120" s="131">
        <f t="shared" si="13"/>
        <v>6.1327999999999996</v>
      </c>
    </row>
    <row r="121" spans="2:9" ht="16.5" x14ac:dyDescent="0.45">
      <c r="B121" s="23">
        <v>53</v>
      </c>
      <c r="C121" s="127" t="s">
        <v>377</v>
      </c>
      <c r="D121" s="118">
        <v>1</v>
      </c>
      <c r="E121" s="128">
        <v>1241.48</v>
      </c>
      <c r="F121" s="128">
        <f t="shared" si="12"/>
        <v>1241.48</v>
      </c>
      <c r="G121" s="129">
        <v>5</v>
      </c>
      <c r="H121" s="129">
        <v>20</v>
      </c>
      <c r="I121" s="128">
        <f t="shared" si="13"/>
        <v>198.63679999999999</v>
      </c>
    </row>
    <row r="122" spans="2:9" ht="16.5" x14ac:dyDescent="0.45">
      <c r="B122" s="23">
        <v>54</v>
      </c>
      <c r="C122" s="130" t="s">
        <v>378</v>
      </c>
      <c r="D122" s="133">
        <v>1</v>
      </c>
      <c r="E122" s="134">
        <v>1133.71</v>
      </c>
      <c r="F122" s="131">
        <f t="shared" si="12"/>
        <v>1133.71</v>
      </c>
      <c r="G122" s="135">
        <v>5</v>
      </c>
      <c r="H122" s="135">
        <v>20</v>
      </c>
      <c r="I122" s="131">
        <f t="shared" si="13"/>
        <v>181.39360000000002</v>
      </c>
    </row>
    <row r="123" spans="2:9" ht="16.5" x14ac:dyDescent="0.45">
      <c r="B123" s="23">
        <v>55</v>
      </c>
      <c r="C123" s="127" t="s">
        <v>379</v>
      </c>
      <c r="D123" s="118">
        <v>1</v>
      </c>
      <c r="E123" s="128">
        <v>900</v>
      </c>
      <c r="F123" s="128">
        <f t="shared" ref="F123:F127" si="14">D123*E123</f>
        <v>900</v>
      </c>
      <c r="G123" s="129">
        <v>5</v>
      </c>
      <c r="H123" s="129">
        <v>20</v>
      </c>
      <c r="I123" s="128">
        <f t="shared" ref="I123:I127" si="15">(((F123*(100-H123)/100)/G123))</f>
        <v>144</v>
      </c>
    </row>
    <row r="124" spans="2:9" ht="16.5" x14ac:dyDescent="0.45">
      <c r="B124" s="23">
        <v>56</v>
      </c>
      <c r="C124" s="130" t="s">
        <v>380</v>
      </c>
      <c r="D124" s="121">
        <v>1</v>
      </c>
      <c r="E124" s="131">
        <v>71.5</v>
      </c>
      <c r="F124" s="131">
        <f t="shared" si="14"/>
        <v>71.5</v>
      </c>
      <c r="G124" s="132">
        <v>5</v>
      </c>
      <c r="H124" s="132">
        <v>20</v>
      </c>
      <c r="I124" s="131">
        <f t="shared" si="15"/>
        <v>11.440000000000001</v>
      </c>
    </row>
    <row r="125" spans="2:9" ht="16.5" x14ac:dyDescent="0.45">
      <c r="B125" s="23">
        <v>57</v>
      </c>
      <c r="C125" s="127" t="s">
        <v>381</v>
      </c>
      <c r="D125" s="118">
        <v>1</v>
      </c>
      <c r="E125" s="128">
        <v>43.31</v>
      </c>
      <c r="F125" s="128">
        <f t="shared" si="14"/>
        <v>43.31</v>
      </c>
      <c r="G125" s="129">
        <v>5</v>
      </c>
      <c r="H125" s="129">
        <v>20</v>
      </c>
      <c r="I125" s="128">
        <f t="shared" si="15"/>
        <v>6.9296000000000006</v>
      </c>
    </row>
    <row r="126" spans="2:9" ht="16.5" x14ac:dyDescent="0.45">
      <c r="B126" s="23">
        <v>58</v>
      </c>
      <c r="C126" s="130" t="s">
        <v>382</v>
      </c>
      <c r="D126" s="121">
        <v>1</v>
      </c>
      <c r="E126" s="131">
        <v>46.7</v>
      </c>
      <c r="F126" s="131">
        <f t="shared" si="14"/>
        <v>46.7</v>
      </c>
      <c r="G126" s="132">
        <v>5</v>
      </c>
      <c r="H126" s="132">
        <v>20</v>
      </c>
      <c r="I126" s="131">
        <f t="shared" si="15"/>
        <v>7.4719999999999995</v>
      </c>
    </row>
    <row r="127" spans="2:9" ht="16.5" x14ac:dyDescent="0.45">
      <c r="B127" s="23">
        <v>59</v>
      </c>
      <c r="C127" s="127" t="s">
        <v>383</v>
      </c>
      <c r="D127" s="118">
        <v>1</v>
      </c>
      <c r="E127" s="128">
        <v>22.48</v>
      </c>
      <c r="F127" s="128">
        <f t="shared" si="14"/>
        <v>22.48</v>
      </c>
      <c r="G127" s="129">
        <v>5</v>
      </c>
      <c r="H127" s="129">
        <v>20</v>
      </c>
      <c r="I127" s="128">
        <f t="shared" si="15"/>
        <v>3.5968000000000004</v>
      </c>
    </row>
    <row r="128" spans="2:9" ht="16.5" x14ac:dyDescent="0.25">
      <c r="B128" s="167" t="s">
        <v>153</v>
      </c>
      <c r="C128" s="167"/>
      <c r="D128" s="167"/>
      <c r="E128" s="167"/>
      <c r="F128" s="167"/>
      <c r="G128" s="167"/>
      <c r="H128" s="167"/>
      <c r="I128" s="138">
        <f>SUM(I69:I127)</f>
        <v>1597.952</v>
      </c>
    </row>
    <row r="129" spans="2:9" ht="16.5" x14ac:dyDescent="0.25">
      <c r="B129" s="167" t="s">
        <v>207</v>
      </c>
      <c r="C129" s="167"/>
      <c r="D129" s="167"/>
      <c r="E129" s="167"/>
      <c r="F129" s="167"/>
      <c r="G129" s="167"/>
      <c r="H129" s="167"/>
      <c r="I129" s="138">
        <f>I128/12</f>
        <v>133.16266666666667</v>
      </c>
    </row>
  </sheetData>
  <mergeCells count="4">
    <mergeCell ref="B61:H61"/>
    <mergeCell ref="B62:H62"/>
    <mergeCell ref="B128:H128"/>
    <mergeCell ref="B129:H129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FC7B6-55DB-4B02-9555-787B278505A8}">
  <dimension ref="C3:G37"/>
  <sheetViews>
    <sheetView topLeftCell="A28" workbookViewId="0">
      <selection activeCell="I9" sqref="I9"/>
    </sheetView>
  </sheetViews>
  <sheetFormatPr defaultRowHeight="12.5" x14ac:dyDescent="0.25"/>
  <cols>
    <col min="4" max="4" width="85.08984375" customWidth="1"/>
    <col min="7" max="7" width="11.81640625" bestFit="1" customWidth="1"/>
  </cols>
  <sheetData>
    <row r="3" spans="3:7" ht="16.5" x14ac:dyDescent="0.45">
      <c r="C3" s="115" t="s">
        <v>384</v>
      </c>
    </row>
    <row r="5" spans="3:7" ht="33" x14ac:dyDescent="0.25">
      <c r="C5" s="126" t="s">
        <v>201</v>
      </c>
      <c r="D5" s="126" t="s">
        <v>202</v>
      </c>
      <c r="E5" s="126" t="s">
        <v>203</v>
      </c>
      <c r="F5" s="126" t="s">
        <v>204</v>
      </c>
      <c r="G5" s="126" t="s">
        <v>208</v>
      </c>
    </row>
    <row r="6" spans="3:7" ht="16.5" x14ac:dyDescent="0.45">
      <c r="C6" s="23">
        <v>1</v>
      </c>
      <c r="D6" s="127" t="s">
        <v>385</v>
      </c>
      <c r="E6" s="118">
        <v>10</v>
      </c>
      <c r="F6" s="128">
        <v>11.88</v>
      </c>
      <c r="G6" s="128">
        <f t="shared" ref="G6:G34" si="0">E6*F6</f>
        <v>118.80000000000001</v>
      </c>
    </row>
    <row r="7" spans="3:7" ht="16.5" x14ac:dyDescent="0.45">
      <c r="C7" s="23">
        <v>2</v>
      </c>
      <c r="D7" s="130" t="s">
        <v>386</v>
      </c>
      <c r="E7" s="121">
        <v>10</v>
      </c>
      <c r="F7" s="131">
        <v>46.97</v>
      </c>
      <c r="G7" s="131">
        <f t="shared" si="0"/>
        <v>469.7</v>
      </c>
    </row>
    <row r="8" spans="3:7" ht="16.5" x14ac:dyDescent="0.45">
      <c r="C8" s="23">
        <v>3</v>
      </c>
      <c r="D8" s="127" t="s">
        <v>387</v>
      </c>
      <c r="E8" s="118">
        <v>10</v>
      </c>
      <c r="F8" s="128">
        <v>45.92</v>
      </c>
      <c r="G8" s="128">
        <f t="shared" si="0"/>
        <v>459.20000000000005</v>
      </c>
    </row>
    <row r="9" spans="3:7" ht="16.5" x14ac:dyDescent="0.45">
      <c r="C9" s="23">
        <v>4</v>
      </c>
      <c r="D9" s="130" t="s">
        <v>388</v>
      </c>
      <c r="E9" s="121">
        <v>10</v>
      </c>
      <c r="F9" s="131">
        <v>12.65</v>
      </c>
      <c r="G9" s="131">
        <f t="shared" si="0"/>
        <v>126.5</v>
      </c>
    </row>
    <row r="10" spans="3:7" ht="16.5" x14ac:dyDescent="0.45">
      <c r="C10" s="23">
        <v>5</v>
      </c>
      <c r="D10" s="127" t="s">
        <v>389</v>
      </c>
      <c r="E10" s="118">
        <v>5</v>
      </c>
      <c r="F10" s="128">
        <v>184.01</v>
      </c>
      <c r="G10" s="128">
        <f t="shared" si="0"/>
        <v>920.05</v>
      </c>
    </row>
    <row r="11" spans="3:7" ht="16.5" x14ac:dyDescent="0.45">
      <c r="C11" s="23">
        <v>6</v>
      </c>
      <c r="D11" s="130" t="s">
        <v>390</v>
      </c>
      <c r="E11" s="121">
        <v>12</v>
      </c>
      <c r="F11" s="131">
        <v>28.43</v>
      </c>
      <c r="G11" s="131">
        <f t="shared" si="0"/>
        <v>341.15999999999997</v>
      </c>
    </row>
    <row r="12" spans="3:7" ht="16.5" x14ac:dyDescent="0.45">
      <c r="C12" s="23">
        <v>7</v>
      </c>
      <c r="D12" s="127" t="s">
        <v>391</v>
      </c>
      <c r="E12" s="118">
        <v>30</v>
      </c>
      <c r="F12" s="128">
        <v>151.08000000000001</v>
      </c>
      <c r="G12" s="128">
        <f t="shared" si="0"/>
        <v>4532.4000000000005</v>
      </c>
    </row>
    <row r="13" spans="3:7" ht="16.5" x14ac:dyDescent="0.45">
      <c r="C13" s="23">
        <v>8</v>
      </c>
      <c r="D13" s="130" t="s">
        <v>392</v>
      </c>
      <c r="E13" s="133">
        <v>5</v>
      </c>
      <c r="F13" s="134">
        <v>7.57</v>
      </c>
      <c r="G13" s="131">
        <f t="shared" si="0"/>
        <v>37.85</v>
      </c>
    </row>
    <row r="14" spans="3:7" ht="16.5" x14ac:dyDescent="0.45">
      <c r="C14" s="23">
        <v>9</v>
      </c>
      <c r="D14" s="127" t="s">
        <v>393</v>
      </c>
      <c r="E14" s="136">
        <v>1</v>
      </c>
      <c r="F14" s="137">
        <v>183.15</v>
      </c>
      <c r="G14" s="128">
        <f t="shared" si="0"/>
        <v>183.15</v>
      </c>
    </row>
    <row r="15" spans="3:7" ht="16.5" x14ac:dyDescent="0.45">
      <c r="C15" s="23">
        <v>10</v>
      </c>
      <c r="D15" s="130" t="s">
        <v>394</v>
      </c>
      <c r="E15" s="133">
        <v>30</v>
      </c>
      <c r="F15" s="134">
        <v>24.56</v>
      </c>
      <c r="G15" s="131">
        <f t="shared" si="0"/>
        <v>736.8</v>
      </c>
    </row>
    <row r="16" spans="3:7" ht="16.5" x14ac:dyDescent="0.45">
      <c r="C16" s="23">
        <v>11</v>
      </c>
      <c r="D16" s="127" t="s">
        <v>395</v>
      </c>
      <c r="E16" s="136">
        <v>2</v>
      </c>
      <c r="F16" s="137">
        <v>9.6</v>
      </c>
      <c r="G16" s="128">
        <f t="shared" si="0"/>
        <v>19.2</v>
      </c>
    </row>
    <row r="17" spans="3:7" ht="16.5" x14ac:dyDescent="0.45">
      <c r="C17" s="23">
        <v>12</v>
      </c>
      <c r="D17" s="130" t="s">
        <v>396</v>
      </c>
      <c r="E17" s="133">
        <v>1</v>
      </c>
      <c r="F17" s="134">
        <v>32.950000000000003</v>
      </c>
      <c r="G17" s="131">
        <f t="shared" si="0"/>
        <v>32.950000000000003</v>
      </c>
    </row>
    <row r="18" spans="3:7" ht="16.5" x14ac:dyDescent="0.45">
      <c r="C18" s="23">
        <v>13</v>
      </c>
      <c r="D18" s="127" t="s">
        <v>397</v>
      </c>
      <c r="E18" s="136">
        <v>6</v>
      </c>
      <c r="F18" s="137">
        <v>0.69</v>
      </c>
      <c r="G18" s="128">
        <f t="shared" si="0"/>
        <v>4.1399999999999997</v>
      </c>
    </row>
    <row r="19" spans="3:7" ht="16.5" x14ac:dyDescent="0.45">
      <c r="C19" s="23">
        <v>14</v>
      </c>
      <c r="D19" s="130" t="s">
        <v>398</v>
      </c>
      <c r="E19" s="133">
        <v>5</v>
      </c>
      <c r="F19" s="134">
        <v>31.27</v>
      </c>
      <c r="G19" s="131">
        <f t="shared" si="0"/>
        <v>156.35</v>
      </c>
    </row>
    <row r="20" spans="3:7" ht="16.5" x14ac:dyDescent="0.45">
      <c r="C20" s="23">
        <v>15</v>
      </c>
      <c r="D20" s="127" t="s">
        <v>399</v>
      </c>
      <c r="E20" s="118">
        <v>8</v>
      </c>
      <c r="F20" s="128">
        <v>7.79</v>
      </c>
      <c r="G20" s="128">
        <f t="shared" si="0"/>
        <v>62.32</v>
      </c>
    </row>
    <row r="21" spans="3:7" ht="16.5" x14ac:dyDescent="0.45">
      <c r="C21" s="23">
        <v>16</v>
      </c>
      <c r="D21" s="130" t="s">
        <v>400</v>
      </c>
      <c r="E21" s="121">
        <v>8</v>
      </c>
      <c r="F21" s="131">
        <v>38.82</v>
      </c>
      <c r="G21" s="131">
        <f t="shared" si="0"/>
        <v>310.56</v>
      </c>
    </row>
    <row r="22" spans="3:7" ht="16.5" x14ac:dyDescent="0.45">
      <c r="C22" s="23">
        <v>17</v>
      </c>
      <c r="D22" s="127" t="s">
        <v>401</v>
      </c>
      <c r="E22" s="118">
        <v>20</v>
      </c>
      <c r="F22" s="128">
        <v>1.97</v>
      </c>
      <c r="G22" s="128">
        <f t="shared" si="0"/>
        <v>39.4</v>
      </c>
    </row>
    <row r="23" spans="3:7" ht="16.5" x14ac:dyDescent="0.45">
      <c r="C23" s="23">
        <v>18</v>
      </c>
      <c r="D23" s="130" t="s">
        <v>402</v>
      </c>
      <c r="E23" s="121">
        <v>5</v>
      </c>
      <c r="F23" s="131">
        <v>47.12</v>
      </c>
      <c r="G23" s="131">
        <f t="shared" si="0"/>
        <v>235.6</v>
      </c>
    </row>
    <row r="24" spans="3:7" ht="16.5" x14ac:dyDescent="0.45">
      <c r="C24" s="23">
        <v>19</v>
      </c>
      <c r="D24" s="127" t="s">
        <v>403</v>
      </c>
      <c r="E24" s="118">
        <v>1</v>
      </c>
      <c r="F24" s="128">
        <v>70.84</v>
      </c>
      <c r="G24" s="128">
        <f t="shared" si="0"/>
        <v>70.84</v>
      </c>
    </row>
    <row r="25" spans="3:7" ht="16.5" x14ac:dyDescent="0.45">
      <c r="C25" s="23">
        <v>20</v>
      </c>
      <c r="D25" s="130" t="s">
        <v>404</v>
      </c>
      <c r="E25" s="121">
        <v>1</v>
      </c>
      <c r="F25" s="131">
        <v>35.4</v>
      </c>
      <c r="G25" s="131">
        <f t="shared" si="0"/>
        <v>35.4</v>
      </c>
    </row>
    <row r="26" spans="3:7" ht="16.5" x14ac:dyDescent="0.45">
      <c r="C26" s="23">
        <v>21</v>
      </c>
      <c r="D26" s="127" t="s">
        <v>405</v>
      </c>
      <c r="E26" s="118">
        <v>2</v>
      </c>
      <c r="F26" s="128">
        <v>172.7</v>
      </c>
      <c r="G26" s="128">
        <f t="shared" si="0"/>
        <v>345.4</v>
      </c>
    </row>
    <row r="27" spans="3:7" ht="16.5" x14ac:dyDescent="0.45">
      <c r="C27" s="23">
        <v>22</v>
      </c>
      <c r="D27" s="130" t="s">
        <v>406</v>
      </c>
      <c r="E27" s="133">
        <v>2</v>
      </c>
      <c r="F27" s="134">
        <v>136.4</v>
      </c>
      <c r="G27" s="131">
        <f t="shared" si="0"/>
        <v>272.8</v>
      </c>
    </row>
    <row r="28" spans="3:7" ht="16.5" x14ac:dyDescent="0.45">
      <c r="C28" s="23">
        <v>23</v>
      </c>
      <c r="D28" s="127" t="s">
        <v>407</v>
      </c>
      <c r="E28" s="136">
        <v>1</v>
      </c>
      <c r="F28" s="137">
        <v>220.5</v>
      </c>
      <c r="G28" s="128">
        <f t="shared" si="0"/>
        <v>220.5</v>
      </c>
    </row>
    <row r="29" spans="3:7" ht="16.5" x14ac:dyDescent="0.45">
      <c r="C29" s="23">
        <v>24</v>
      </c>
      <c r="D29" s="130" t="s">
        <v>408</v>
      </c>
      <c r="E29" s="133">
        <v>5</v>
      </c>
      <c r="F29" s="134">
        <v>30.12</v>
      </c>
      <c r="G29" s="131">
        <f t="shared" si="0"/>
        <v>150.6</v>
      </c>
    </row>
    <row r="30" spans="3:7" ht="16.5" x14ac:dyDescent="0.45">
      <c r="C30" s="23">
        <v>25</v>
      </c>
      <c r="D30" s="127" t="s">
        <v>409</v>
      </c>
      <c r="E30" s="118">
        <v>2</v>
      </c>
      <c r="F30" s="128">
        <v>7.79</v>
      </c>
      <c r="G30" s="128">
        <f t="shared" si="0"/>
        <v>15.58</v>
      </c>
    </row>
    <row r="31" spans="3:7" ht="16.5" x14ac:dyDescent="0.45">
      <c r="C31" s="23">
        <v>26</v>
      </c>
      <c r="D31" s="130" t="s">
        <v>410</v>
      </c>
      <c r="E31" s="121">
        <v>2</v>
      </c>
      <c r="F31" s="131">
        <v>70</v>
      </c>
      <c r="G31" s="131">
        <f t="shared" si="0"/>
        <v>140</v>
      </c>
    </row>
    <row r="32" spans="3:7" ht="16.5" x14ac:dyDescent="0.45">
      <c r="C32" s="23">
        <v>27</v>
      </c>
      <c r="D32" s="127" t="s">
        <v>411</v>
      </c>
      <c r="E32" s="118">
        <v>12</v>
      </c>
      <c r="F32" s="128">
        <v>1.97</v>
      </c>
      <c r="G32" s="128">
        <f t="shared" si="0"/>
        <v>23.64</v>
      </c>
    </row>
    <row r="33" spans="3:7" ht="16.5" x14ac:dyDescent="0.45">
      <c r="C33" s="23">
        <v>28</v>
      </c>
      <c r="D33" s="130" t="s">
        <v>412</v>
      </c>
      <c r="E33" s="121">
        <v>4</v>
      </c>
      <c r="F33" s="131">
        <v>3.4</v>
      </c>
      <c r="G33" s="131">
        <f t="shared" si="0"/>
        <v>13.6</v>
      </c>
    </row>
    <row r="34" spans="3:7" ht="16.5" x14ac:dyDescent="0.45">
      <c r="C34" s="23">
        <v>29</v>
      </c>
      <c r="D34" s="127" t="s">
        <v>413</v>
      </c>
      <c r="E34" s="118">
        <v>2</v>
      </c>
      <c r="F34" s="128">
        <v>54.33</v>
      </c>
      <c r="G34" s="128">
        <f t="shared" si="0"/>
        <v>108.66</v>
      </c>
    </row>
    <row r="35" spans="3:7" ht="16.5" x14ac:dyDescent="0.25">
      <c r="C35" s="168" t="s">
        <v>153</v>
      </c>
      <c r="D35" s="169"/>
      <c r="E35" s="169"/>
      <c r="F35" s="170"/>
      <c r="G35" s="171">
        <f>SUM(G6:G34)</f>
        <v>10183.15</v>
      </c>
    </row>
    <row r="36" spans="3:7" ht="16.5" x14ac:dyDescent="0.25">
      <c r="C36" s="168" t="s">
        <v>212</v>
      </c>
      <c r="D36" s="169"/>
      <c r="E36" s="169"/>
      <c r="F36" s="170"/>
      <c r="G36" s="171">
        <f>G35/3</f>
        <v>3394.3833333333332</v>
      </c>
    </row>
    <row r="37" spans="3:7" ht="16.5" x14ac:dyDescent="0.25">
      <c r="C37" s="168" t="s">
        <v>207</v>
      </c>
      <c r="D37" s="169"/>
      <c r="E37" s="169"/>
      <c r="F37" s="170"/>
      <c r="G37" s="171">
        <f>G36/12</f>
        <v>282.86527777777775</v>
      </c>
    </row>
  </sheetData>
  <mergeCells count="3">
    <mergeCell ref="C35:F35"/>
    <mergeCell ref="C36:F36"/>
    <mergeCell ref="C37:F3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126</vt:i4>
      </vt:variant>
    </vt:vector>
  </HeadingPairs>
  <TitlesOfParts>
    <vt:vector size="134" baseType="lpstr">
      <vt:lpstr>INSERÇÃO-DE-DADOS</vt:lpstr>
      <vt:lpstr>DADOS-ESTATISTICOS</vt:lpstr>
      <vt:lpstr>ENCARGOS-SOCIAIS-E-TRABALHISTAS</vt:lpstr>
      <vt:lpstr>POSTO 44 HORAS</vt:lpstr>
      <vt:lpstr>UNIFORME</vt:lpstr>
      <vt:lpstr>MATERIAIS</vt:lpstr>
      <vt:lpstr>EQUIPAMENTOS_FERRAMENTAS</vt:lpstr>
      <vt:lpstr>EPI</vt:lpstr>
      <vt:lpstr>ACORDO_COLETIVO</vt:lpstr>
      <vt:lpstr>'POSTO 44 HORAS'!AL_1_A_SAL_BASE</vt:lpstr>
      <vt:lpstr>'POSTO 44 HORAS'!AL_1_B_ADIC_PERIC</vt:lpstr>
      <vt:lpstr>'POSTO 44 HORAS'!AL_1_C_ADIC_NOT</vt:lpstr>
      <vt:lpstr>'POSTO 44 HORAS'!AL_1_D_ADIC_NOT_RED</vt:lpstr>
      <vt:lpstr>'POSTO 44 HORAS'!AL_2_1_A_DEC_TERC</vt:lpstr>
      <vt:lpstr>'POSTO 44 HORAS'!AL_2_1_B_ADIC_FERIAS</vt:lpstr>
      <vt:lpstr>'POSTO 44 HORAS'!AL_2_2_FGTS</vt:lpstr>
      <vt:lpstr>'POSTO 44 HORAS'!AL_2_3_A_TRANSP</vt:lpstr>
      <vt:lpstr>'POSTO 44 HORAS'!AL_2_3_B_AUX_ALIMENT</vt:lpstr>
      <vt:lpstr>'POSTO 44 HORAS'!AL_2_3_C_OUTROS_BENEF</vt:lpstr>
      <vt:lpstr>'POSTO 44 HORAS'!AL_2_A_ATE_2_G_GPS</vt:lpstr>
      <vt:lpstr>'POSTO 44 HORAS'!AL_6_A_CUSTOS_INDIRETOS</vt:lpstr>
      <vt:lpstr>'POSTO 44 HORAS'!AL_6_B_LUCRO</vt:lpstr>
      <vt:lpstr>'POSTO 44 HORAS'!AL_6_C_1_PIS</vt:lpstr>
      <vt:lpstr>'POSTO 44 HORAS'!AL_6_C_2_COFINS</vt:lpstr>
      <vt:lpstr>'POSTO 44 HORAS'!AL_6_C_3_ISS</vt:lpstr>
      <vt:lpstr>'POSTO 44 HORAS'!AL_6_C_TRIBUTOS</vt:lpstr>
      <vt:lpstr>ALIMENTACAO_POR_DIA</vt:lpstr>
      <vt:lpstr>CATEGORIA_PROFISSIONAL</vt:lpstr>
      <vt:lpstr>CBO</vt:lpstr>
      <vt:lpstr>DATA_APRESENTACAO_PROPOSTA</vt:lpstr>
      <vt:lpstr>DATA_BASE_CATEGORIA</vt:lpstr>
      <vt:lpstr>DATA_DO_ORCAMENTO_ESTIMATIVO</vt:lpstr>
      <vt:lpstr>DATA_LICITACAO</vt:lpstr>
      <vt:lpstr>DIAS_AUSENCIAS_LEGAIS</vt:lpstr>
      <vt:lpstr>DIAS_LICENCA_MATERNIDADE</vt:lpstr>
      <vt:lpstr>DIAS_LICENCA_PATERNIDADE</vt:lpstr>
      <vt:lpstr>DIAS_NA_SEMANA</vt:lpstr>
      <vt:lpstr>DIAS_NO_ANO</vt:lpstr>
      <vt:lpstr>DIAS_NO_MES</vt:lpstr>
      <vt:lpstr>DIAS_PAGOS_EMPRESA_ACID_TRAB</vt:lpstr>
      <vt:lpstr>DIAS_TRABALHADOS_NO_MES</vt:lpstr>
      <vt:lpstr>DIVISOR_DE_HORAS</vt:lpstr>
      <vt:lpstr>EMPREG_POR_POSTO</vt:lpstr>
      <vt:lpstr>EQUIPAMENTOS</vt:lpstr>
      <vt:lpstr>HORA_NORMAL</vt:lpstr>
      <vt:lpstr>HORA_NOTURNA</vt:lpstr>
      <vt:lpstr>HORARIO_LICITACAO</vt:lpstr>
      <vt:lpstr>LOCAL_DE_EXECUCAO</vt:lpstr>
      <vt:lpstr>MATERIAIS</vt:lpstr>
      <vt:lpstr>MEDIA_ANUAL_DIAS_TRABALHO_MES</vt:lpstr>
      <vt:lpstr>MESES_NO_ANO</vt:lpstr>
      <vt:lpstr>'POSTO 44 HORAS'!MOD_1_REMUNERACAO</vt:lpstr>
      <vt:lpstr>'POSTO 44 HORAS'!MOD_3_PROVISAO_RESCISAO</vt:lpstr>
      <vt:lpstr>'POSTO 44 HORAS'!MOD_5_INSUMOS</vt:lpstr>
      <vt:lpstr>'POSTO 44 HORAS'!MOD_6_CUSTOS_IND_LUCRO_TRIB</vt:lpstr>
      <vt:lpstr>MODALIDADE_DE_LICITACAO</vt:lpstr>
      <vt:lpstr>NUMERO_MESES_EXEC_CONTRATUAL</vt:lpstr>
      <vt:lpstr>NUMERO_PREGAO</vt:lpstr>
      <vt:lpstr>NUMERO_PROCESSO</vt:lpstr>
      <vt:lpstr>OUTRAS_AUSENCIAS</vt:lpstr>
      <vt:lpstr>OUTRAS_AUSENCIAS_DESCRICAO</vt:lpstr>
      <vt:lpstr>OUTROS_BENEFICIOS_1</vt:lpstr>
      <vt:lpstr>OUTROS_BENEFICIOS_1_DESCRICAO</vt:lpstr>
      <vt:lpstr>OUTROS_BENEFICIOS_2</vt:lpstr>
      <vt:lpstr>OUTROS_BENEFICIOS_2_DESCRICAO</vt:lpstr>
      <vt:lpstr>OUTROS_BENEFICIOS_3</vt:lpstr>
      <vt:lpstr>OUTROS_BENEFICIOS_3_DESCRICAO</vt:lpstr>
      <vt:lpstr>OUTROS_INSUMOS</vt:lpstr>
      <vt:lpstr>OUTROS_INSUMOS_DESCRICAO</vt:lpstr>
      <vt:lpstr>OUTROS_REMUNERACAO_1</vt:lpstr>
      <vt:lpstr>OUTROS_REMUNERACAO_1_DESCRICAO</vt:lpstr>
      <vt:lpstr>OUTROS_REMUNERACAO_2</vt:lpstr>
      <vt:lpstr>OUTROS_REMUNERACAO_2_DESCRICAO</vt:lpstr>
      <vt:lpstr>OUTROS_REMUNERACAO_3</vt:lpstr>
      <vt:lpstr>OUTROS_REMUNERACAO_3_DESCRICAO</vt:lpstr>
      <vt:lpstr>PERC_ADIC_FERIAS</vt:lpstr>
      <vt:lpstr>PERC_ADIC_INS</vt:lpstr>
      <vt:lpstr>PERC_ADIC_NOT</vt:lpstr>
      <vt:lpstr>PERC_ADIC_PERIC</vt:lpstr>
      <vt:lpstr>PERC_AVISO_PREVIO_IND</vt:lpstr>
      <vt:lpstr>PERC_AVISO_PREVIO_TRAB</vt:lpstr>
      <vt:lpstr>PERC_COFINS</vt:lpstr>
      <vt:lpstr>PERC_CUSTOS_INDIRETOS</vt:lpstr>
      <vt:lpstr>PERC_DEC_TERC</vt:lpstr>
      <vt:lpstr>PERC_DESC_TRANSP_REMUNERACAO</vt:lpstr>
      <vt:lpstr>PERC_EMPREG_AFAST_TRAB</vt:lpstr>
      <vt:lpstr>PERC_EMPREG_AVISO_PREVIO_IND</vt:lpstr>
      <vt:lpstr>PERC_EMPREG_AVISO_PREVIO_TRAB</vt:lpstr>
      <vt:lpstr>PERC_EMPREG_DEMIT_SEM_JUSTA_CAUSA_TOTAL_DESLIG</vt:lpstr>
      <vt:lpstr>PERC_FGTS</vt:lpstr>
      <vt:lpstr>PERC_FGTS_AVISO_PREV_IND</vt:lpstr>
      <vt:lpstr>PERC_GPS_FGTS</vt:lpstr>
      <vt:lpstr>PERC_GPS_FGTS_AVISO_PREVIO_TRAB</vt:lpstr>
      <vt:lpstr>PERC_HORA_EXTRA</vt:lpstr>
      <vt:lpstr>PERC_INCRA</vt:lpstr>
      <vt:lpstr>PERC_INSS</vt:lpstr>
      <vt:lpstr>PERC_ISS</vt:lpstr>
      <vt:lpstr>PERC_LUCRO</vt:lpstr>
      <vt:lpstr>'POSTO 44 HORAS'!PERC_MOD_3_PROVISAO_RESCISAO</vt:lpstr>
      <vt:lpstr>PERC_MULTA_FGTS</vt:lpstr>
      <vt:lpstr>PERC_MULTA_FGTS_AV_PREV_IND</vt:lpstr>
      <vt:lpstr>PERC_MULTA_FGTS_AV_PREV_TRAB</vt:lpstr>
      <vt:lpstr>PERC_NASCIDOS_VIVOS_POPUL_FEM</vt:lpstr>
      <vt:lpstr>PERC_PARTIC_FEM_VIGIL</vt:lpstr>
      <vt:lpstr>PERC_PARTIC_MASC_VIGIL</vt:lpstr>
      <vt:lpstr>PERC_PIS</vt:lpstr>
      <vt:lpstr>PERC_RAT</vt:lpstr>
      <vt:lpstr>PERC_SAL_EDUCACAO</vt:lpstr>
      <vt:lpstr>PERC_SEBRAE</vt:lpstr>
      <vt:lpstr>PERC_SENAC</vt:lpstr>
      <vt:lpstr>PERC_SESC</vt:lpstr>
      <vt:lpstr>PERC_SUBSTITUTO_ACID_TRAB</vt:lpstr>
      <vt:lpstr>PERC_SUBSTITUTO_AFAST_MATERN</vt:lpstr>
      <vt:lpstr>PERC_SUBSTITUTO_AUSENCIAS_LEGAIS</vt:lpstr>
      <vt:lpstr>PERC_SUBSTITUTO_FERIAS</vt:lpstr>
      <vt:lpstr>PERC_SUBSTITUTO_LICENCA_PATERNIDADE</vt:lpstr>
      <vt:lpstr>PERC_SUBSTITUTO_OUTRAS_AUSENCIAS</vt:lpstr>
      <vt:lpstr>'POSTO 44 HORAS'!PERC_TRIBUTOS</vt:lpstr>
      <vt:lpstr>'POSTO 44 HORAS'!QTDE_POSTOS</vt:lpstr>
      <vt:lpstr>RAMO</vt:lpstr>
      <vt:lpstr>SAL_MINIMO</vt:lpstr>
      <vt:lpstr>SALARIO_BASE</vt:lpstr>
      <vt:lpstr>'POSTO 44 HORAS'!SUBMOD_2_1_DEC_TERC_ADIC_FERIAS</vt:lpstr>
      <vt:lpstr>'POSTO 44 HORAS'!SUBMOD_2_2_GPS_FGTS</vt:lpstr>
      <vt:lpstr>'POSTO 44 HORAS'!SUBMOD_2_3_BENEFICIOS</vt:lpstr>
      <vt:lpstr>'POSTO 44 HORAS'!SUBMOD_4_1_SUBSTITUTO</vt:lpstr>
      <vt:lpstr>'POSTO 44 HORAS'!SUBMOD_4_2_INTRAJORNADA</vt:lpstr>
      <vt:lpstr>TEMPO_INTERVALO_REFEICAO</vt:lpstr>
      <vt:lpstr>TIPO_DE_SERVICO</vt:lpstr>
      <vt:lpstr>TRANSPORTE_POR_DIA</vt:lpstr>
      <vt:lpstr>UG</vt:lpstr>
      <vt:lpstr>UNIFORMES</vt:lpstr>
      <vt:lpstr>'POSTO 44 HORAS'!VALOR_TOTAL_EMPREGADO</vt:lpstr>
      <vt:lpstr>'POSTO 44 HORAS'!VALOR_TOTAL_POSTO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André Felipe Flores da Silva</dc:creator>
  <dc:description/>
  <cp:lastModifiedBy>cdyonne@gmail.com</cp:lastModifiedBy>
  <cp:revision>8</cp:revision>
  <cp:lastPrinted>2019-08-28T14:06:04Z</cp:lastPrinted>
  <dcterms:created xsi:type="dcterms:W3CDTF">2014-02-07T18:14:59Z</dcterms:created>
  <dcterms:modified xsi:type="dcterms:W3CDTF">2025-03-25T04:29:20Z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