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44 HORAS" sheetId="4" state="visible" r:id="rId5"/>
    <sheet name="UNIFORME" sheetId="5" state="visible" r:id="rId6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'DADOS-ESTATISTICOS'!$F$27</definedName>
    <definedName function="false" hidden="false" name="DIAS_LICENCA_MATERNIDADE" vbProcedure="false">'DADOS-ESTATISTICOS'!$F$33</definedName>
    <definedName function="false" hidden="false" name="DIAS_LICENCA_PATERNIDADE" vbProcedure="false">'DADOS-ESTATISTICOS'!$F$28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'DADOS-ESTATISTICOS'!$F$22</definedName>
    <definedName function="false" hidden="false" name="DIAS_PAGOS_EMPRESA_ACID_TRAB" vbProcedure="false">'DADOS-ESTATISTICOS'!$F$32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'INSERÇÃO-DE-DADOS'!$F$63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'INSERÇÃO-DE-DADOS'!$F$62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'INSERÇÃO-DE-DADOS'!$C$52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'INSERÇÃO-DE-DADOS'!$F$64</definedName>
    <definedName function="false" hidden="false" name="OUTROS_INSUMOS_DESCRICAO" vbProcedure="false">'INSERÇÃO-DE-DADOS'!$C$64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'INSERÇÃO-DE-DADOS'!$F$71</definedName>
    <definedName function="false" hidden="false" name="PERC_CONTRIB_SOCIAL" vbProcedure="false">'dados-estatisticos'!#ref!</definedName>
    <definedName function="false" hidden="false" name="PERC_CUSTOS_INDIRETOS" vbProcedure="false">'INSERÇÃO-DE-DADOS'!$F$68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'DADOS-ESTATISTICOS'!$F$31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'DADOS-ESTATISTICOS'!$F$21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'INSERÇÃO-DE-DADOS'!$F$56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'INSERÇÃO-DE-DADOS'!$F$72</definedName>
    <definedName function="false" hidden="false" name="PERC_LUCRO" vbProcedure="false">'INSERÇÃO-DE-DADOS'!$F$69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'DADOS-ESTATISTICOS'!$F$29</definedName>
    <definedName function="false" hidden="false" name="PERC_PARTIC_FEM_VIGIL" vbProcedure="false">'DADOS-ESTATISTICOS'!$F$34</definedName>
    <definedName function="false" hidden="false" name="PERC_PARTIC_MASC_VIGIL" vbProcedure="false">'DADOS-ESTATISTICOS'!$F$30</definedName>
    <definedName function="false" hidden="false" name="PERC_PIS" vbProcedure="false">'INSERÇÃO-DE-DADOS'!$F$70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'INSERÇÃO-DE-DADOS'!$F$52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'INSERÇÃO-DE-DADOS'!$F$57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'INSERÇÃO-DE-DADOS'!$F$61</definedName>
    <definedName function="false" hidden="false" localSheetId="3" name="AL_1_A_SAL_BASE" vbProcedure="false">'POSTO 44 HORAS'!$F$22</definedName>
    <definedName function="false" hidden="false" localSheetId="3" name="AL_1_B_ADIC_PERIC" vbProcedure="false">'POSTO 44 HORAS'!$F$23</definedName>
    <definedName function="false" hidden="false" localSheetId="3" name="AL_1_C_ADIC_NOT" vbProcedure="false">'POSTO 44 HORAS'!$F$24</definedName>
    <definedName function="false" hidden="false" localSheetId="3" name="AL_1_D_ADIC_NOT_RED" vbProcedure="false">'POSTO 44 HORAS'!$F$25</definedName>
    <definedName function="false" hidden="false" localSheetId="3" name="AL_2_1_A_DEC_TERC" vbProcedure="false">'POSTO 44 HORAS'!$F$34</definedName>
    <definedName function="false" hidden="false" localSheetId="3" name="AL_2_1_B_ADIC_FERIAS" vbProcedure="false">'POSTO 44 HORAS'!$F$35</definedName>
    <definedName function="false" hidden="false" localSheetId="3" name="AL_2_2_FGTS" vbProcedure="false">'POSTO 44 HORAS'!$F$46</definedName>
    <definedName function="false" hidden="false" localSheetId="3" name="AL_2_3_A_TRANSP" vbProcedure="false">'POSTO 44 HORAS'!$F$50</definedName>
    <definedName function="false" hidden="false" localSheetId="3" name="AL_2_3_B_AUX_ALIMENT" vbProcedure="false">'POSTO 44 HORAS'!$F$51</definedName>
    <definedName function="false" hidden="false" localSheetId="3" name="AL_2_3_C_OUTROS_BENEF" vbProcedure="false">'POSTO 44 HORAS'!$F$52</definedName>
    <definedName function="false" hidden="false" localSheetId="3" name="AL_2_A_ATE_2_G_GPS" vbProcedure="false">'POSTO 44 HORAS'!$F$39:$F$45</definedName>
    <definedName function="false" hidden="false" localSheetId="3" name="AL_6_A_CUSTOS_INDIRETOS" vbProcedure="false">'POSTO 44 HORAS'!$F$92</definedName>
    <definedName function="false" hidden="false" localSheetId="3" name="AL_6_B_LUCRO" vbProcedure="false">'POSTO 44 HORAS'!$F$93</definedName>
    <definedName function="false" hidden="false" localSheetId="3" name="AL_6_C_1_PIS" vbProcedure="false">'POSTO 44 HORAS'!$F$95</definedName>
    <definedName function="false" hidden="false" localSheetId="3" name="AL_6_C_2_COFINS" vbProcedure="false">'POSTO 44 HORAS'!$F$96</definedName>
    <definedName function="false" hidden="false" localSheetId="3" name="AL_6_C_3_ISS" vbProcedure="false">'POSTO 44 HORAS'!$F$97</definedName>
    <definedName function="false" hidden="false" localSheetId="3" name="AL_6_C_TRIBUTOS" vbProcedure="false">'POSTO 44 HORAS'!$F$94</definedName>
    <definedName function="false" hidden="false" localSheetId="3" name="MOD_1_REMUNERACAO" vbProcedure="false">'POSTO 44 HORAS'!$F$30</definedName>
    <definedName function="false" hidden="false" localSheetId="3" name="MOD_2_ENCARGOS_BENEFICIOS" vbProcedure="false">'POSTO 44 HORAS'!$F$36+'POSTO 44 HORAS'!$F$47+'POSTO 44 HORAS'!$F$56</definedName>
    <definedName function="false" hidden="false" localSheetId="3" name="MOD_3_PROVISAO_RESCISAO" vbProcedure="false">'POSTO 44 HORAS'!$F$65</definedName>
    <definedName function="false" hidden="false" localSheetId="3" name="MOD_4_CUSTO_REPOSICAO" vbProcedure="false">'POSTO 44 HORAS'!$F$76+'POSTO 44 HORAS'!$F$80</definedName>
    <definedName function="false" hidden="false" localSheetId="3" name="MOD_5_INSUMOS" vbProcedure="false">'POSTO 44 HORAS'!$F$88</definedName>
    <definedName function="false" hidden="false" localSheetId="3" name="MOD_6_CUSTOS_IND_LUCRO_TRIB" vbProcedure="false">'POSTO 44 HORAS'!$F$98</definedName>
    <definedName function="false" hidden="false" localSheetId="3" name="PERC_MOD_3_PROVISAO_RESCISAO" vbProcedure="false">'POSTO 44 HORAS'!$E$65</definedName>
    <definedName function="false" hidden="false" localSheetId="3" name="PERC_TRIBUTOS" vbProcedure="false">'POSTO 44 HORAS'!$E$94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44 HORAS'!$F$36</definedName>
    <definedName function="false" hidden="false" localSheetId="3" name="SUBMOD_2_2_GPS_FGTS" vbProcedure="false">'POSTO 44 HORAS'!$F$47</definedName>
    <definedName function="false" hidden="false" localSheetId="3" name="SUBMOD_2_3_BENEFICIOS" vbProcedure="false">'POSTO 44 HORAS'!$F$56</definedName>
    <definedName function="false" hidden="false" localSheetId="3" name="SUBMOD_4_1_SUBSTITUTO" vbProcedure="false">'POSTO 44 HORAS'!$F$76</definedName>
    <definedName function="false" hidden="false" localSheetId="3" name="SUBMOD_4_2_INTRAJORNADA" vbProcedure="false">'POSTO 44 HORAS'!$F$80</definedName>
    <definedName function="false" hidden="false" localSheetId="3" name="VALOR_TOTAL_EMPREGADO" vbProcedure="false">'POSTO 44 HORAS'!$F$107</definedName>
    <definedName function="false" hidden="false" localSheetId="3" name="VALOR_TOTAL_POSTO" vbProcedure="false">'POSTO 44 HORAS'!$F$108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<sst xmlns="http://schemas.openxmlformats.org/spreadsheetml/2006/main" count="464" uniqueCount="216">
  <si>
    <t xml:space="preserve">RAMO: MINISTÉRIO PÚBLICO FEDERAL</t>
  </si>
  <si>
    <t xml:space="preserve">UNIDADE GESTORA (SIGLA): PR/AP</t>
  </si>
  <si>
    <t xml:space="preserve">DATA:</t>
  </si>
  <si>
    <t xml:space="preserve">XX/XX/2025</t>
  </si>
  <si>
    <t xml:space="preserve">CUSTOS REFERENTES AOS SERVIÇOS CONTRATADOS</t>
  </si>
  <si>
    <t xml:space="preserve">Dados referentes à licitação</t>
  </si>
  <si>
    <t xml:space="preserve">Nº do Processo</t>
  </si>
  <si>
    <t xml:space="preserve">1.22.000.000988/2024-16</t>
  </si>
  <si>
    <t xml:space="preserve">Modalidade de Licitação nº (XX/AAAA)</t>
  </si>
  <si>
    <t xml:space="preserve">Pregão nº</t>
  </si>
  <si>
    <t xml:space="preserve">XX/2025</t>
  </si>
  <si>
    <t xml:space="preserve">Data / Horário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</si>
  <si>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</si>
  <si>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</si>
  <si>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</si>
  <si>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</si>
  <si>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</si>
  <si>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</si>
  <si>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PRAP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</si>
  <si>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</si>
  <si>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</si>
  <si>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</si>
  <si>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</si>
  <si>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(01/2025)</t>
  </si>
  <si>
    <t xml:space="preserve">AP000003/2025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</si>
  <si>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</si>
  <si>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</si>
  <si>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</si>
  <si>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</si>
  <si>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</si>
  <si>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</si>
  <si>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</si>
  <si>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</si>
  <si>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Copeiragem</t>
  </si>
  <si>
    <t xml:space="preserve">Unid.</t>
  </si>
  <si>
    <t xml:space="preserve">Mão de obra</t>
  </si>
  <si>
    <t xml:space="preserve">Classificação Brasileira de Ocupações (CBO)</t>
  </si>
  <si>
    <t xml:space="preserve">5134-25</t>
  </si>
  <si>
    <t xml:space="preserve">Categoria Profissional (vinculada à execução contratual)</t>
  </si>
  <si>
    <t xml:space="preserve">Copeira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</si>
  <si>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</si>
  <si>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</si>
  <si>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</si>
  <si>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</si>
  <si>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</si>
  <si>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</si>
  <si>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</si>
  <si>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</si>
  <si>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</si>
  <si>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</si>
  <si>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</si>
  <si>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</si>
  <si>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</si>
  <si>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</si>
  <si>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</si>
  <si>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</si>
  <si>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</si>
  <si>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</si>
  <si>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</si>
  <si>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</si>
  <si>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</si>
  <si>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</si>
  <si>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</si>
  <si>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</si>
  <si>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</si>
  <si>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</si>
  <si>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Benefício Social (CCT, Cláusula 15ª)</t>
  </si>
  <si>
    <t xml:space="preserve">Outros Benefícios 2</t>
  </si>
  <si>
    <t xml:space="preserve">Outros Benefícios 3</t>
  </si>
  <si>
    <t xml:space="preserve">Outros Benefícios 4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</si>
  <si>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</si>
  <si>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</si>
  <si>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</si>
  <si>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</si>
  <si>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</si>
  <si>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</si>
  <si>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</si>
  <si>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</si>
  <si>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</si>
  <si>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</si>
  <si>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</si>
  <si>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</si>
  <si>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</si>
  <si>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</si>
  <si>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</si>
  <si>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</si>
  <si>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</si>
  <si>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Equipamentos/Ferramentas</t>
  </si>
  <si>
    <t xml:space="preserve">EPI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</si>
  <si>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</si>
  <si>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</si>
  <si>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</si>
  <si>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</si>
  <si>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</si>
  <si>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</si>
  <si>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</si>
  <si>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</si>
  <si>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</si>
  <si>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</si>
  <si>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</si>
  <si>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</si>
  <si>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</si>
  <si>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</si>
  <si>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</si>
  <si>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</si>
  <si>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</si>
  <si>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</si>
  <si>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</si>
  <si>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</si>
  <si>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</si>
  <si>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</si>
  <si>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</si>
  <si>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</si>
  <si>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</si>
  <si>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</si>
  <si>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</si>
  <si>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</si>
  <si>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</si>
  <si>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</si>
  <si>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</si>
  <si>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</si>
  <si>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</si>
  <si>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</si>
  <si>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</si>
  <si>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</si>
  <si>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</si>
  <si>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</si>
  <si>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</si>
  <si>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</si>
  <si>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</si>
  <si>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</si>
  <si>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</si>
  <si>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</si>
  <si>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</si>
  <si>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</si>
  <si>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</si>
  <si>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</si>
  <si>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</si>
  <si>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</si>
  <si>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</si>
  <si>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</si>
  <si>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</si>
  <si>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</si>
  <si>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</si>
  <si>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</si>
  <si>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</si>
  <si>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</si>
  <si>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</si>
  <si>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</si>
  <si>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</si>
  <si>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</si>
  <si>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</si>
  <si>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</si>
  <si>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</si>
  <si>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</si>
  <si>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</si>
  <si>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</si>
  <si>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[(56,24%) x 5,55% x (1/12)] x 100</t>
  </si>
  <si>
    <t xml:space="preserve">Incidência do FGTS sobre o Aviso Prévio Indenizado</t>
  </si>
  <si>
    <t xml:space="preserve">(8,00% x 0,26%) x 100</t>
  </si>
  <si>
    <t xml:space="preserve">Multa do FGTS e Contribuição Social sobre o Aviso Prévio Indenizado</t>
  </si>
  <si>
    <t xml:space="preserve">[(0,26%) x (40% x 8,00%] x 100</t>
  </si>
  <si>
    <t xml:space="preserve">Aviso Prévio Trabalhado</t>
  </si>
  <si>
    <t xml:space="preserve">[(56,24%) x 94,45% x (7/30)/12] x 100</t>
  </si>
  <si>
    <t xml:space="preserve">Incidência de GPS, FGTS e Outras Contribuições sobre Aviso Prévio Trabalhado</t>
  </si>
  <si>
    <t xml:space="preserve">(36,80% x 1,03%) x 100</t>
  </si>
  <si>
    <t xml:space="preserve">Multa do FGTS e Contribuição Social sobre o Aviso Prévio Trabalhado</t>
  </si>
  <si>
    <t xml:space="preserve">[(1,03%) x (40%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</si>
  <si>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</si>
  <si>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</si>
  <si>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</si>
  <si>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</si>
  <si>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</si>
  <si>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</si>
  <si>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</si>
  <si>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</si>
  <si>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</si>
  <si>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</si>
  <si>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</si>
  <si>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Modalidade de Licitação</t>
  </si>
  <si>
    <t xml:space="preserve">DISCRIMINAÇÃO DOS SERVIÇOS (DADOS REFERENTES À CONTRATAÇÃO)</t>
  </si>
  <si>
    <t xml:space="preserve">Acordo, Conv. ou Sentença Normativa em Dissídio Coletivo (MM/AAAA)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</si>
  <si>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</si>
  <si>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</si>
  <si>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</si>
  <si>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</si>
  <si>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</si>
  <si>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</si>
  <si>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</si>
  <si>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</si>
  <si>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</si>
  <si>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Abono de Férias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</si>
  <si>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</si>
  <si>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</si>
  <si>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</si>
  <si>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</si>
  <si>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</si>
  <si>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</si>
  <si>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</si>
  <si>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</si>
  <si>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</si>
  <si>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</si>
  <si>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</si>
  <si>
    <t xml:space="preserve">UNIFORME – COPEIRA</t>
  </si>
  <si>
    <t xml:space="preserve">ITEM</t>
  </si>
  <si>
    <t xml:space="preserve">Descrição</t>
  </si>
  <si>
    <t xml:space="preserve">Qtde</t>
  </si>
  <si>
    <t xml:space="preserve">Valor Unitário</t>
  </si>
  <si>
    <t xml:space="preserve">Total</t>
  </si>
  <si>
    <t xml:space="preserve">Blusa de malha ou algodão na cor azul, manga curta.</t>
  </si>
  <si>
    <t xml:space="preserve">Avental na cor branca.</t>
  </si>
  <si>
    <t xml:space="preserve">Calça/saia na cor preta.</t>
  </si>
  <si>
    <t xml:space="preserve">Par de sapato social, em couro ou material sintético similar, na cor preta</t>
  </si>
  <si>
    <t xml:space="preserve">Par de meias, em tecido 100% algodão.</t>
  </si>
  <si>
    <t xml:space="preserve">TOTAL P/ 24 MESES POR FUNCIONÁRIO</t>
  </si>
  <si>
    <t xml:space="preserve">TOTAL MENSAL POR FUNCIONÁRIO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</si>
</sst>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M/D/YYYY"/>
    <numFmt numFmtId="167" formatCode="#,##0.00"/>
    <numFmt numFmtId="168" formatCode="#,##0.00_);\(#,##0.00\)"/>
    <numFmt numFmtId="169" formatCode="#,##0"/>
    <numFmt numFmtId="170" formatCode="#,##0_);\(#,##0\)"/>
    <numFmt numFmtId="171" formatCode="#,##0.0"/>
    <numFmt numFmtId="172" formatCode="0.00"/>
    <numFmt numFmtId="173" formatCode="#,##0.00_ ;\-#,##0.00\ "/>
    <numFmt numFmtId="174" formatCode="[$R$-416]\ #,##0.00;[RED]\-[$R$-416]\ #,##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7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F70" activeCellId="0" sqref="F70:F7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2" t="s">
        <v>0</v>
      </c>
      <c r="C1" s="2"/>
      <c r="D1" s="2"/>
      <c r="E1" s="2"/>
      <c r="F1" s="2"/>
    </row>
    <row r="2" customFormat="false" ht="21" hidden="false" customHeight="false" outlineLevel="0" collapsed="false">
      <c r="B2" s="2" t="s">
        <v>1</v>
      </c>
      <c r="C2" s="2"/>
      <c r="D2" s="2"/>
      <c r="E2" s="3" t="s">
        <v>2</v>
      </c>
      <c r="F2" s="4" t="s">
        <v>3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" hidden="false" customHeight="false" outlineLevel="0" collapsed="false">
      <c r="B4" s="6" t="s">
        <v>4</v>
      </c>
      <c r="C4" s="6"/>
      <c r="D4" s="6"/>
      <c r="E4" s="6"/>
      <c r="F4" s="6"/>
    </row>
    <row r="5" s="5" customFormat="true" ht="16" hidden="false" customHeight="true" outlineLevel="0" collapsed="false">
      <c r="B5" s="7" t="s">
        <v>5</v>
      </c>
      <c r="C5" s="7"/>
      <c r="D5" s="7"/>
      <c r="E5" s="7"/>
      <c r="F5" s="7"/>
    </row>
    <row r="6" s="5" customFormat="true" ht="16" hidden="false" customHeight="true" outlineLevel="0" collapsed="false">
      <c r="B6" s="8" t="s">
        <v>6</v>
      </c>
      <c r="C6" s="8"/>
      <c r="D6" s="9" t="s">
        <v>7</v>
      </c>
      <c r="E6" s="9"/>
      <c r="F6" s="9"/>
    </row>
    <row r="7" s="5" customFormat="true" ht="15.75" hidden="false" customHeight="true" outlineLevel="0" collapsed="false">
      <c r="B7" s="10" t="s">
        <v>8</v>
      </c>
      <c r="C7" s="10"/>
      <c r="D7" s="11" t="s">
        <v>9</v>
      </c>
      <c r="E7" s="11"/>
      <c r="F7" s="12" t="s">
        <v>10</v>
      </c>
    </row>
    <row r="8" s="5" customFormat="true" ht="15.75" hidden="false" customHeight="true" outlineLevel="0" collapsed="false">
      <c r="B8" s="8" t="s">
        <v>11</v>
      </c>
      <c r="C8" s="8"/>
      <c r="D8" s="12" t="s">
        <v>3</v>
      </c>
      <c r="E8" s="12"/>
      <c r="F8" s="12" t="s">
        <v>12</v>
      </c>
    </row>
    <row r="9" s="5" customFormat="true" ht="9.75" hidden="false" customHeight="true" outlineLevel="0" collapsed="false">
      <c r="C9" s="13"/>
      <c r="D9" s="14"/>
      <c r="E9" s="14"/>
      <c r="F9" s="15"/>
    </row>
    <row r="10" s="5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6" t="s">
        <v>14</v>
      </c>
      <c r="C11" s="8" t="s">
        <v>15</v>
      </c>
      <c r="D11" s="8"/>
      <c r="E11" s="8"/>
      <c r="F11" s="17" t="s">
        <v>3</v>
      </c>
    </row>
    <row r="12" s="5" customFormat="true" ht="16" hidden="false" customHeight="true" outlineLevel="0" collapsed="false">
      <c r="B12" s="18" t="s">
        <v>16</v>
      </c>
      <c r="C12" s="19" t="s">
        <v>17</v>
      </c>
      <c r="D12" s="20" t="s">
        <v>18</v>
      </c>
      <c r="E12" s="20"/>
      <c r="F12" s="20"/>
    </row>
    <row r="13" s="5" customFormat="true" ht="16" hidden="false" customHeight="true" outlineLevel="0" collapsed="false">
      <c r="B13" s="16" t="s">
        <v>19</v>
      </c>
      <c r="C13" s="8" t="s">
        <v>20</v>
      </c>
      <c r="D13" s="8"/>
      <c r="E13" s="8"/>
      <c r="F13" s="21" t="s">
        <v>21</v>
      </c>
    </row>
    <row r="14" s="5" customFormat="true" ht="18.75" hidden="false" customHeight="true" outlineLevel="0" collapsed="false">
      <c r="B14" s="18" t="s">
        <v>22</v>
      </c>
      <c r="C14" s="22" t="s">
        <v>23</v>
      </c>
      <c r="D14" s="22"/>
      <c r="E14" s="22"/>
      <c r="F14" s="12" t="s">
        <v>24</v>
      </c>
    </row>
    <row r="15" s="5" customFormat="true" ht="16" hidden="false" customHeight="true" outlineLevel="0" collapsed="false">
      <c r="B15" s="18" t="s">
        <v>25</v>
      </c>
      <c r="C15" s="8" t="s">
        <v>26</v>
      </c>
      <c r="D15" s="8"/>
      <c r="E15" s="8"/>
      <c r="F15" s="23" t="n">
        <v>24</v>
      </c>
    </row>
    <row r="16" s="5" customFormat="true" ht="16" hidden="false" customHeight="true" outlineLevel="0" collapsed="false">
      <c r="C16" s="13"/>
      <c r="D16" s="14"/>
      <c r="E16" s="14"/>
      <c r="F16" s="15"/>
    </row>
    <row r="17" s="5" customFormat="true" ht="16.5" hidden="false" customHeight="false" outlineLevel="0" collapsed="false">
      <c r="B17" s="7" t="s">
        <v>27</v>
      </c>
      <c r="C17" s="7"/>
      <c r="D17" s="7"/>
      <c r="E17" s="7"/>
      <c r="F17" s="7"/>
    </row>
    <row r="18" s="24" customFormat="true" ht="49.5" hidden="false" customHeight="false" outlineLevel="0" collapsed="false">
      <c r="B18" s="25" t="s">
        <v>28</v>
      </c>
      <c r="C18" s="25" t="s">
        <v>29</v>
      </c>
      <c r="D18" s="26" t="s">
        <v>30</v>
      </c>
      <c r="E18" s="26" t="s">
        <v>31</v>
      </c>
      <c r="F18" s="26" t="s">
        <v>32</v>
      </c>
    </row>
    <row r="19" s="5" customFormat="true" ht="16.5" hidden="false" customHeight="true" outlineLevel="0" collapsed="false">
      <c r="B19" s="16" t="n">
        <v>1</v>
      </c>
      <c r="C19" s="27" t="s">
        <v>33</v>
      </c>
      <c r="D19" s="28" t="s">
        <v>34</v>
      </c>
      <c r="E19" s="29" t="n">
        <v>1</v>
      </c>
      <c r="F19" s="28" t="n">
        <v>2</v>
      </c>
    </row>
    <row r="20" s="5" customFormat="true" ht="16" hidden="false" customHeight="true" outlineLevel="0" collapsed="false">
      <c r="B20" s="30"/>
      <c r="C20" s="30"/>
      <c r="D20" s="30"/>
      <c r="E20" s="30"/>
      <c r="F20" s="30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B22" s="16" t="n">
        <v>1</v>
      </c>
      <c r="C22" s="31" t="s">
        <v>36</v>
      </c>
      <c r="D22" s="9" t="s">
        <v>37</v>
      </c>
      <c r="E22" s="9"/>
      <c r="F22" s="9"/>
    </row>
    <row r="23" s="5" customFormat="true" ht="23" hidden="false" customHeight="true" outlineLevel="0" collapsed="false">
      <c r="B23" s="16" t="n">
        <v>2</v>
      </c>
      <c r="C23" s="32" t="s">
        <v>38</v>
      </c>
      <c r="D23" s="33" t="s">
        <v>39</v>
      </c>
      <c r="E23" s="33"/>
      <c r="F23" s="33"/>
    </row>
    <row r="24" s="5" customFormat="true" ht="16" hidden="false" customHeight="true" outlineLevel="0" collapsed="false">
      <c r="B24" s="16" t="n">
        <v>3</v>
      </c>
      <c r="C24" s="8" t="s">
        <v>40</v>
      </c>
      <c r="D24" s="8"/>
      <c r="E24" s="8"/>
      <c r="F24" s="17" t="n">
        <v>45658</v>
      </c>
    </row>
    <row r="25" s="5" customFormat="true" ht="16" hidden="false" customHeight="true" outlineLevel="0" collapsed="false">
      <c r="B25" s="16" t="n">
        <v>4</v>
      </c>
      <c r="C25" s="10" t="s">
        <v>41</v>
      </c>
      <c r="D25" s="10"/>
      <c r="E25" s="10"/>
      <c r="F25" s="34" t="n">
        <v>1518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8" t="n">
        <v>1</v>
      </c>
      <c r="C29" s="41" t="s">
        <v>44</v>
      </c>
      <c r="D29" s="41"/>
      <c r="E29" s="41"/>
      <c r="F29" s="42" t="s">
        <v>45</v>
      </c>
    </row>
    <row r="30" customFormat="false" ht="16.4" hidden="false" customHeight="true" outlineLevel="0" collapsed="false">
      <c r="B30" s="18" t="s">
        <v>14</v>
      </c>
      <c r="C30" s="43" t="s">
        <v>46</v>
      </c>
      <c r="D30" s="43"/>
      <c r="E30" s="43"/>
      <c r="F30" s="44" t="n">
        <v>1617.02</v>
      </c>
    </row>
    <row r="31" customFormat="false" ht="16.5" hidden="false" customHeight="true" outlineLevel="0" collapsed="false">
      <c r="B31" s="18" t="s">
        <v>16</v>
      </c>
      <c r="C31" s="22" t="s">
        <v>47</v>
      </c>
      <c r="D31" s="22"/>
      <c r="E31" s="22"/>
      <c r="F31" s="45"/>
    </row>
    <row r="32" customFormat="false" ht="16.5" hidden="false" customHeight="true" outlineLevel="0" collapsed="false">
      <c r="B32" s="18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8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8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8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8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5"/>
      <c r="D39" s="5"/>
      <c r="E39" s="5"/>
      <c r="F39" s="5"/>
    </row>
    <row r="40" s="48" customFormat="true" ht="15" hidden="false" customHeight="true" outlineLevel="0" collapsed="false">
      <c r="A40" s="1"/>
      <c r="B40" s="18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5" hidden="false" customHeight="false" outlineLevel="0" collapsed="false">
      <c r="A41" s="1"/>
      <c r="B41" s="50" t="s">
        <v>14</v>
      </c>
      <c r="C41" s="8" t="s">
        <v>61</v>
      </c>
      <c r="D41" s="8"/>
      <c r="E41" s="23" t="s">
        <v>62</v>
      </c>
      <c r="F41" s="51" t="n">
        <v>7.4</v>
      </c>
    </row>
    <row r="42" s="48" customFormat="true" ht="16.5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27</v>
      </c>
    </row>
    <row r="43" s="48" customFormat="true" ht="16.5" hidden="false" customHeight="false" outlineLevel="0" collapsed="false">
      <c r="B43" s="50" t="s">
        <v>19</v>
      </c>
      <c r="C43" s="8" t="s">
        <v>64</v>
      </c>
      <c r="D43" s="8"/>
      <c r="E43" s="23" t="s">
        <v>65</v>
      </c>
      <c r="F43" s="53" t="n">
        <v>22</v>
      </c>
    </row>
    <row r="44" customFormat="false" ht="16.4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20.79</v>
      </c>
    </row>
    <row r="45" customFormat="false" ht="16.4" hidden="false" customHeight="true" outlineLevel="0" collapsed="false">
      <c r="B45" s="50" t="s">
        <v>25</v>
      </c>
      <c r="C45" s="47" t="s">
        <v>67</v>
      </c>
      <c r="D45" s="47"/>
      <c r="E45" s="54" t="s">
        <v>65</v>
      </c>
      <c r="F45" s="44"/>
    </row>
    <row r="46" customFormat="false" ht="16.4" hidden="false" customHeight="true" outlineLevel="0" collapsed="false">
      <c r="B46" s="50" t="s">
        <v>51</v>
      </c>
      <c r="C46" s="47" t="s">
        <v>68</v>
      </c>
      <c r="D46" s="47"/>
      <c r="E46" s="54" t="s">
        <v>65</v>
      </c>
      <c r="F46" s="44"/>
    </row>
    <row r="47" customFormat="false" ht="16.4" hidden="false" customHeight="true" outlineLevel="0" collapsed="false">
      <c r="B47" s="50" t="s">
        <v>53</v>
      </c>
      <c r="C47" s="47" t="s">
        <v>69</v>
      </c>
      <c r="D47" s="47"/>
      <c r="E47" s="54" t="s">
        <v>65</v>
      </c>
      <c r="F47" s="44"/>
    </row>
    <row r="48" s="48" customFormat="true" ht="16.5" hidden="false" customHeight="false" outlineLevel="0" collapsed="false"/>
    <row r="49" s="5" customFormat="true" ht="16.5" hidden="false" customHeight="false" outlineLevel="0" collapsed="false">
      <c r="B49" s="39" t="s">
        <v>70</v>
      </c>
      <c r="C49" s="55"/>
      <c r="D49" s="56"/>
      <c r="E49" s="1"/>
      <c r="F49" s="1"/>
    </row>
    <row r="50" s="5" customFormat="true" ht="15" hidden="false" customHeight="true" outlineLevel="0" collapsed="false">
      <c r="B50" s="39" t="s">
        <v>71</v>
      </c>
      <c r="C50" s="55"/>
      <c r="D50" s="56"/>
      <c r="E50" s="57"/>
      <c r="F50" s="57"/>
    </row>
    <row r="51" customFormat="false" ht="16.5" hidden="false" customHeight="true" outlineLevel="0" collapsed="false">
      <c r="A51" s="5"/>
      <c r="B51" s="18" t="s">
        <v>72</v>
      </c>
      <c r="C51" s="41" t="s">
        <v>73</v>
      </c>
      <c r="D51" s="41"/>
      <c r="E51" s="41"/>
      <c r="F51" s="42" t="s">
        <v>74</v>
      </c>
    </row>
    <row r="52" s="48" customFormat="true" ht="16.5" hidden="false" customHeight="true" outlineLevel="0" collapsed="false">
      <c r="B52" s="42" t="s">
        <v>14</v>
      </c>
      <c r="C52" s="58" t="s">
        <v>75</v>
      </c>
      <c r="D52" s="58"/>
      <c r="E52" s="58"/>
      <c r="F52" s="51"/>
    </row>
    <row r="53" customFormat="false" ht="16.5" hidden="false" customHeight="false" outlineLevel="0" collapsed="false">
      <c r="B53" s="48"/>
      <c r="C53" s="48"/>
      <c r="D53" s="48"/>
      <c r="E53" s="48"/>
      <c r="F53" s="48"/>
    </row>
    <row r="54" customFormat="false" ht="16.5" hidden="false" customHeight="false" outlineLevel="0" collapsed="false">
      <c r="B54" s="39" t="s">
        <v>76</v>
      </c>
      <c r="C54" s="55"/>
      <c r="D54" s="56"/>
      <c r="E54" s="57"/>
      <c r="F54" s="57"/>
    </row>
    <row r="55" customFormat="false" ht="16.5" hidden="false" customHeight="false" outlineLevel="0" collapsed="false">
      <c r="B55" s="18" t="s">
        <v>77</v>
      </c>
      <c r="C55" s="59" t="s">
        <v>78</v>
      </c>
      <c r="D55" s="59"/>
      <c r="E55" s="59"/>
      <c r="F55" s="42" t="s">
        <v>79</v>
      </c>
    </row>
    <row r="56" customFormat="false" ht="15" hidden="false" customHeight="true" outlineLevel="0" collapsed="false">
      <c r="B56" s="18" t="s">
        <v>14</v>
      </c>
      <c r="C56" s="43" t="s">
        <v>80</v>
      </c>
      <c r="D56" s="43"/>
      <c r="E56" s="43"/>
      <c r="F56" s="45"/>
    </row>
    <row r="57" s="48" customFormat="true" ht="16.5" hidden="false" customHeight="true" outlineLevel="0" collapsed="false">
      <c r="B57" s="18" t="s">
        <v>16</v>
      </c>
      <c r="C57" s="22" t="s">
        <v>81</v>
      </c>
      <c r="D57" s="22"/>
      <c r="E57" s="22"/>
      <c r="F57" s="45"/>
    </row>
    <row r="58" customFormat="false" ht="16.5" hidden="false" customHeight="false" outlineLevel="0" collapsed="false">
      <c r="B58" s="48"/>
      <c r="C58" s="48"/>
      <c r="D58" s="48"/>
      <c r="E58" s="48"/>
      <c r="F58" s="48"/>
    </row>
    <row r="59" customFormat="false" ht="15.75" hidden="false" customHeight="true" outlineLevel="0" collapsed="false">
      <c r="B59" s="39" t="s">
        <v>82</v>
      </c>
      <c r="C59" s="55"/>
      <c r="D59" s="55"/>
      <c r="E59" s="57"/>
      <c r="F59" s="57"/>
    </row>
    <row r="60" customFormat="false" ht="16.5" hidden="false" customHeight="true" outlineLevel="0" collapsed="false">
      <c r="B60" s="60" t="n">
        <v>5</v>
      </c>
      <c r="C60" s="61" t="s">
        <v>83</v>
      </c>
      <c r="D60" s="61"/>
      <c r="E60" s="61"/>
      <c r="F60" s="62" t="s">
        <v>84</v>
      </c>
    </row>
    <row r="61" customFormat="false" ht="16.4" hidden="false" customHeight="true" outlineLevel="0" collapsed="false">
      <c r="B61" s="63" t="s">
        <v>14</v>
      </c>
      <c r="C61" s="64" t="s">
        <v>85</v>
      </c>
      <c r="D61" s="64"/>
      <c r="E61" s="64"/>
      <c r="F61" s="65" t="n">
        <f aca="false">UNIFORME!F11</f>
        <v>32.8583333333333</v>
      </c>
    </row>
    <row r="62" s="67" customFormat="true" ht="16.5" hidden="false" customHeight="true" outlineLevel="0" collapsed="false">
      <c r="A62" s="1"/>
      <c r="B62" s="63" t="s">
        <v>16</v>
      </c>
      <c r="C62" s="66" t="s">
        <v>86</v>
      </c>
      <c r="D62" s="66"/>
      <c r="E62" s="66"/>
      <c r="F62" s="65"/>
    </row>
    <row r="63" s="67" customFormat="true" ht="16.4" hidden="false" customHeight="true" outlineLevel="0" collapsed="false">
      <c r="A63" s="1"/>
      <c r="B63" s="63" t="s">
        <v>19</v>
      </c>
      <c r="C63" s="64" t="s">
        <v>87</v>
      </c>
      <c r="D63" s="64"/>
      <c r="E63" s="64"/>
      <c r="F63" s="65"/>
    </row>
    <row r="64" s="48" customFormat="true" ht="16.5" hidden="false" customHeight="true" outlineLevel="0" collapsed="false">
      <c r="B64" s="63" t="s">
        <v>22</v>
      </c>
      <c r="C64" s="47" t="s">
        <v>88</v>
      </c>
      <c r="D64" s="47"/>
      <c r="E64" s="47"/>
      <c r="F64" s="44"/>
    </row>
    <row r="65" s="68" customFormat="true" ht="16.5" hidden="false" customHeight="true" outlineLevel="0" collapsed="false">
      <c r="A65" s="1"/>
      <c r="B65" s="48"/>
      <c r="C65" s="48"/>
      <c r="D65" s="48"/>
      <c r="E65" s="48"/>
      <c r="F65" s="48"/>
    </row>
    <row r="66" s="70" customFormat="true" ht="16.5" hidden="false" customHeight="true" outlineLevel="0" collapsed="false">
      <c r="A66" s="1"/>
      <c r="B66" s="69" t="s">
        <v>89</v>
      </c>
      <c r="C66" s="69"/>
      <c r="D66" s="69"/>
      <c r="E66" s="69"/>
      <c r="F66" s="69"/>
    </row>
    <row r="67" s="70" customFormat="true" ht="16.5" hidden="false" customHeight="false" outlineLevel="0" collapsed="false">
      <c r="A67" s="67"/>
      <c r="B67" s="18" t="n">
        <v>6</v>
      </c>
      <c r="C67" s="59" t="s">
        <v>90</v>
      </c>
      <c r="D67" s="59"/>
      <c r="E67" s="59"/>
      <c r="F67" s="42" t="s">
        <v>74</v>
      </c>
    </row>
    <row r="68" s="70" customFormat="true" ht="16.4" hidden="false" customHeight="true" outlineLevel="0" collapsed="false">
      <c r="A68" s="67"/>
      <c r="B68" s="18" t="s">
        <v>14</v>
      </c>
      <c r="C68" s="71" t="s">
        <v>91</v>
      </c>
      <c r="D68" s="71"/>
      <c r="E68" s="71"/>
      <c r="F68" s="72" t="n">
        <v>4.73</v>
      </c>
    </row>
    <row r="69" s="70" customFormat="true" ht="16.4" hidden="false" customHeight="true" outlineLevel="0" collapsed="false">
      <c r="A69" s="68"/>
      <c r="B69" s="42" t="s">
        <v>16</v>
      </c>
      <c r="C69" s="22" t="s">
        <v>92</v>
      </c>
      <c r="D69" s="22"/>
      <c r="E69" s="22"/>
      <c r="F69" s="72" t="n">
        <v>5.57</v>
      </c>
    </row>
    <row r="70" customFormat="false" ht="16.4" hidden="false" customHeight="true" outlineLevel="0" collapsed="false">
      <c r="B70" s="73" t="s">
        <v>93</v>
      </c>
      <c r="C70" s="71" t="s">
        <v>94</v>
      </c>
      <c r="D70" s="71"/>
      <c r="E70" s="71" t="n">
        <f aca="false">PERC_PIS</f>
        <v>0.65</v>
      </c>
      <c r="F70" s="72" t="n">
        <v>0.65</v>
      </c>
    </row>
    <row r="71" customFormat="false" ht="16.4" hidden="false" customHeight="true" outlineLevel="0" collapsed="false">
      <c r="B71" s="73" t="s">
        <v>95</v>
      </c>
      <c r="C71" s="22" t="s">
        <v>96</v>
      </c>
      <c r="D71" s="22"/>
      <c r="E71" s="22" t="n">
        <f aca="false">PERC_COFINS</f>
        <v>3</v>
      </c>
      <c r="F71" s="72" t="n">
        <v>3</v>
      </c>
    </row>
    <row r="72" s="48" customFormat="true" ht="16.4" hidden="false" customHeight="true" outlineLevel="0" collapsed="false">
      <c r="B72" s="73" t="s">
        <v>97</v>
      </c>
      <c r="C72" s="71" t="s">
        <v>98</v>
      </c>
      <c r="D72" s="71"/>
      <c r="E72" s="71" t="n">
        <f aca="false">PERC_ISS</f>
        <v>5</v>
      </c>
      <c r="F72" s="72" t="n">
        <v>5</v>
      </c>
    </row>
    <row r="73" customFormat="false" ht="16.5" hidden="false" customHeight="false" outlineLevel="0" collapsed="false">
      <c r="B73" s="48"/>
      <c r="C73" s="48"/>
      <c r="D73" s="48"/>
      <c r="E73" s="48"/>
      <c r="F73" s="48"/>
    </row>
    <row r="74" customFormat="false" ht="33.75" hidden="false" customHeight="true" outlineLevel="0" collapsed="false">
      <c r="B74" s="74" t="s">
        <v>99</v>
      </c>
      <c r="C74" s="75"/>
      <c r="D74" s="75"/>
      <c r="E74" s="75"/>
      <c r="F74" s="76"/>
    </row>
    <row r="75" customFormat="false" ht="32.25" hidden="false" customHeight="true" outlineLevel="0" collapsed="false">
      <c r="B75" s="77" t="s">
        <v>100</v>
      </c>
      <c r="C75" s="77"/>
      <c r="D75" s="77"/>
      <c r="E75" s="77"/>
      <c r="F75" s="77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0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2" type="whole">
      <formula1>2</formula1>
      <formula2>5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9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8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7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70:F71" type="none">
      <formula1>0.65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B23" activeCellId="1" sqref="F70:F71 B23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15" min="7" style="1" width="9.09"/>
    <col collapsed="false" customWidth="true" hidden="false" outlineLevel="0" max="1025" min="1016" style="0" width="8.63"/>
  </cols>
  <sheetData>
    <row r="1" s="5" customFormat="true" ht="25" hidden="false" customHeight="false" outlineLevel="0" collapsed="false">
      <c r="B1" s="38" t="s">
        <v>101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1.25" hidden="false" customHeight="true" outlineLevel="0" collapsed="false">
      <c r="B3" s="18" t="n">
        <v>1</v>
      </c>
      <c r="C3" s="41" t="s">
        <v>44</v>
      </c>
      <c r="D3" s="41"/>
      <c r="E3" s="41"/>
      <c r="F3" s="42" t="s">
        <v>102</v>
      </c>
    </row>
    <row r="4" customFormat="false" ht="16.4" hidden="false" customHeight="true" outlineLevel="0" collapsed="false">
      <c r="B4" s="18" t="s">
        <v>25</v>
      </c>
      <c r="C4" s="71" t="s">
        <v>103</v>
      </c>
      <c r="D4" s="71"/>
      <c r="E4" s="71"/>
      <c r="F4" s="78" t="n">
        <v>220</v>
      </c>
    </row>
    <row r="5" customFormat="false" ht="16.4" hidden="false" customHeight="true" outlineLevel="0" collapsed="false">
      <c r="B5" s="18" t="s">
        <v>51</v>
      </c>
      <c r="C5" s="46" t="s">
        <v>104</v>
      </c>
      <c r="D5" s="46"/>
      <c r="E5" s="46"/>
      <c r="F5" s="79" t="n">
        <v>7</v>
      </c>
    </row>
    <row r="6" customFormat="false" ht="16.4" hidden="false" customHeight="true" outlineLevel="0" collapsed="false">
      <c r="B6" s="18" t="s">
        <v>53</v>
      </c>
      <c r="C6" s="71" t="s">
        <v>105</v>
      </c>
      <c r="D6" s="71"/>
      <c r="E6" s="71"/>
      <c r="F6" s="78" t="n">
        <v>365</v>
      </c>
    </row>
    <row r="7" customFormat="false" ht="16.4" hidden="false" customHeight="true" outlineLevel="0" collapsed="false">
      <c r="B7" s="18" t="s">
        <v>106</v>
      </c>
      <c r="C7" s="46" t="s">
        <v>107</v>
      </c>
      <c r="D7" s="46"/>
      <c r="E7" s="46"/>
      <c r="F7" s="80" t="n">
        <v>22</v>
      </c>
    </row>
    <row r="8" customFormat="false" ht="16.4" hidden="false" customHeight="true" outlineLevel="0" collapsed="false">
      <c r="B8" s="18" t="s">
        <v>108</v>
      </c>
      <c r="C8" s="71" t="s">
        <v>109</v>
      </c>
      <c r="D8" s="71"/>
      <c r="E8" s="71"/>
      <c r="F8" s="78" t="n">
        <v>12</v>
      </c>
    </row>
    <row r="9" customFormat="false" ht="16.4" hidden="false" customHeight="true" outlineLevel="0" collapsed="false">
      <c r="B9" s="18" t="s">
        <v>110</v>
      </c>
      <c r="C9" s="46" t="s">
        <v>111</v>
      </c>
      <c r="D9" s="46"/>
      <c r="E9" s="46"/>
      <c r="F9" s="79" t="n">
        <v>60</v>
      </c>
    </row>
    <row r="10" s="1" customFormat="true" ht="16.4" hidden="false" customHeight="true" outlineLevel="0" collapsed="false">
      <c r="B10" s="18" t="s">
        <v>112</v>
      </c>
      <c r="C10" s="71" t="s">
        <v>113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5"/>
      <c r="D12" s="5"/>
      <c r="E12" s="5"/>
      <c r="F12" s="5"/>
    </row>
    <row r="13" s="48" customFormat="true" ht="16.4" hidden="false" customHeight="true" outlineLevel="0" collapsed="false">
      <c r="A13" s="1"/>
      <c r="B13" s="18" t="s">
        <v>57</v>
      </c>
      <c r="C13" s="41" t="s">
        <v>58</v>
      </c>
      <c r="D13" s="41"/>
      <c r="E13" s="42" t="s">
        <v>59</v>
      </c>
      <c r="F13" s="42" t="s">
        <v>74</v>
      </c>
    </row>
    <row r="14" s="48" customFormat="true" ht="16.5" hidden="false" customHeight="false" outlineLevel="0" collapsed="false">
      <c r="B14" s="50" t="s">
        <v>19</v>
      </c>
      <c r="C14" s="10" t="s">
        <v>114</v>
      </c>
      <c r="D14" s="10"/>
      <c r="E14" s="52" t="s">
        <v>65</v>
      </c>
      <c r="F14" s="82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115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8" t="n">
        <v>3</v>
      </c>
      <c r="C17" s="59" t="s">
        <v>116</v>
      </c>
      <c r="D17" s="59"/>
      <c r="E17" s="59"/>
      <c r="F17" s="42" t="s">
        <v>117</v>
      </c>
    </row>
    <row r="18" s="5" customFormat="true" ht="16.4" hidden="false" customHeight="true" outlineLevel="0" collapsed="false">
      <c r="A18" s="48"/>
      <c r="B18" s="18" t="s">
        <v>14</v>
      </c>
      <c r="C18" s="71" t="s">
        <v>118</v>
      </c>
      <c r="D18" s="71"/>
      <c r="E18" s="71"/>
      <c r="F18" s="83" t="n">
        <v>56.24</v>
      </c>
    </row>
    <row r="19" customFormat="false" ht="16.5" hidden="false" customHeight="false" outlineLevel="0" collapsed="false">
      <c r="A19" s="48"/>
      <c r="B19" s="42" t="s">
        <v>16</v>
      </c>
      <c r="C19" s="84" t="s">
        <v>119</v>
      </c>
      <c r="D19" s="84"/>
      <c r="E19" s="84"/>
      <c r="F19" s="85" t="n">
        <v>5.55</v>
      </c>
    </row>
    <row r="20" s="5" customFormat="true" ht="16.4" hidden="false" customHeight="true" outlineLevel="0" collapsed="false">
      <c r="B20" s="42" t="s">
        <v>19</v>
      </c>
      <c r="C20" s="71" t="s">
        <v>120</v>
      </c>
      <c r="D20" s="71"/>
      <c r="E20" s="71"/>
      <c r="F20" s="86" t="n">
        <v>40</v>
      </c>
    </row>
    <row r="21" customFormat="false" ht="16.4" hidden="false" customHeight="true" outlineLevel="0" collapsed="false">
      <c r="A21" s="48"/>
      <c r="B21" s="42" t="s">
        <v>22</v>
      </c>
      <c r="C21" s="71" t="s">
        <v>121</v>
      </c>
      <c r="D21" s="71"/>
      <c r="E21" s="71"/>
      <c r="F21" s="83" t="n">
        <v>94.45</v>
      </c>
    </row>
    <row r="22" customFormat="false" ht="16.5" hidden="false" customHeight="false" outlineLevel="0" collapsed="false">
      <c r="A22" s="48"/>
      <c r="B22" s="42" t="s">
        <v>25</v>
      </c>
      <c r="C22" s="84" t="s">
        <v>122</v>
      </c>
      <c r="D22" s="84"/>
      <c r="E22" s="84"/>
      <c r="F22" s="82" t="n">
        <v>30</v>
      </c>
    </row>
    <row r="23" s="48" customFormat="true" ht="16.5" hidden="false" customHeight="false" outlineLevel="0" collapsed="false"/>
    <row r="24" s="5" customFormat="true" ht="16.5" hidden="false" customHeight="false" outlineLevel="0" collapsed="false">
      <c r="B24" s="39" t="s">
        <v>70</v>
      </c>
      <c r="C24" s="55"/>
      <c r="D24" s="56"/>
      <c r="E24" s="1"/>
      <c r="F24" s="1"/>
    </row>
    <row r="25" s="5" customFormat="true" ht="16.5" hidden="false" customHeight="false" outlineLevel="0" collapsed="false">
      <c r="B25" s="39" t="s">
        <v>71</v>
      </c>
      <c r="C25" s="55"/>
      <c r="D25" s="56"/>
      <c r="E25" s="57"/>
      <c r="F25" s="57"/>
    </row>
    <row r="26" s="5" customFormat="true" ht="16.4" hidden="false" customHeight="true" outlineLevel="0" collapsed="false">
      <c r="B26" s="18" t="s">
        <v>72</v>
      </c>
      <c r="C26" s="41" t="s">
        <v>73</v>
      </c>
      <c r="D26" s="41"/>
      <c r="E26" s="41"/>
      <c r="F26" s="42" t="s">
        <v>117</v>
      </c>
    </row>
    <row r="27" s="5" customFormat="true" ht="16.4" hidden="false" customHeight="true" outlineLevel="0" collapsed="false">
      <c r="B27" s="18" t="s">
        <v>14</v>
      </c>
      <c r="C27" s="71" t="s">
        <v>123</v>
      </c>
      <c r="D27" s="71"/>
      <c r="E27" s="71"/>
      <c r="F27" s="86" t="n">
        <v>8</v>
      </c>
    </row>
    <row r="28" customFormat="false" ht="16.4" hidden="false" customHeight="true" outlineLevel="0" collapsed="false">
      <c r="A28" s="5"/>
      <c r="B28" s="42" t="s">
        <v>16</v>
      </c>
      <c r="C28" s="22" t="s">
        <v>124</v>
      </c>
      <c r="D28" s="22"/>
      <c r="E28" s="22"/>
      <c r="F28" s="82" t="n">
        <v>20</v>
      </c>
    </row>
    <row r="29" customFormat="false" ht="16.4" hidden="false" customHeight="true" outlineLevel="0" collapsed="false">
      <c r="A29" s="5"/>
      <c r="B29" s="42" t="s">
        <v>19</v>
      </c>
      <c r="C29" s="71" t="s">
        <v>125</v>
      </c>
      <c r="D29" s="71"/>
      <c r="E29" s="71"/>
      <c r="F29" s="83" t="n">
        <v>1.42</v>
      </c>
    </row>
    <row r="30" customFormat="false" ht="16.4" hidden="false" customHeight="true" outlineLevel="0" collapsed="false">
      <c r="A30" s="5"/>
      <c r="B30" s="42" t="s">
        <v>22</v>
      </c>
      <c r="C30" s="22" t="s">
        <v>126</v>
      </c>
      <c r="D30" s="22"/>
      <c r="E30" s="22"/>
      <c r="F30" s="85" t="n">
        <v>45.22</v>
      </c>
    </row>
    <row r="31" s="5" customFormat="true" ht="16.4" hidden="false" customHeight="true" outlineLevel="0" collapsed="false">
      <c r="A31" s="1"/>
      <c r="B31" s="42" t="s">
        <v>25</v>
      </c>
      <c r="C31" s="71" t="s">
        <v>127</v>
      </c>
      <c r="D31" s="71"/>
      <c r="E31" s="71"/>
      <c r="F31" s="83" t="n">
        <f aca="false">(154800/34808000)*100</f>
        <v>0.444725350494139</v>
      </c>
    </row>
    <row r="32" customFormat="false" ht="16.4" hidden="false" customHeight="true" outlineLevel="0" collapsed="false">
      <c r="A32" s="5"/>
      <c r="B32" s="42" t="s">
        <v>51</v>
      </c>
      <c r="C32" s="22" t="s">
        <v>128</v>
      </c>
      <c r="D32" s="22"/>
      <c r="E32" s="22"/>
      <c r="F32" s="82" t="n">
        <v>15</v>
      </c>
    </row>
    <row r="33" customFormat="false" ht="16.4" hidden="false" customHeight="true" outlineLevel="0" collapsed="false">
      <c r="A33" s="5"/>
      <c r="B33" s="42" t="s">
        <v>53</v>
      </c>
      <c r="C33" s="71" t="s">
        <v>129</v>
      </c>
      <c r="D33" s="71"/>
      <c r="E33" s="71"/>
      <c r="F33" s="86" t="n">
        <v>180</v>
      </c>
    </row>
    <row r="34" customFormat="false" ht="16.4" hidden="false" customHeight="true" outlineLevel="0" collapsed="false">
      <c r="A34" s="5"/>
      <c r="B34" s="42" t="s">
        <v>130</v>
      </c>
      <c r="C34" s="22" t="s">
        <v>131</v>
      </c>
      <c r="D34" s="22"/>
      <c r="E34" s="22"/>
      <c r="F34" s="85" t="n">
        <v>54.78</v>
      </c>
    </row>
    <row r="35" s="48" customFormat="true" ht="16.5" hidden="false" customHeight="false" outlineLevel="0" collapsed="false"/>
    <row r="36" customFormat="false" ht="16.5" hidden="false" customHeight="false" outlineLevel="0" collapsed="false">
      <c r="B36" s="39" t="s">
        <v>132</v>
      </c>
      <c r="C36" s="55"/>
      <c r="D36" s="56"/>
      <c r="E36" s="57"/>
      <c r="F36" s="57"/>
    </row>
    <row r="37" customFormat="false" ht="16.5" hidden="false" customHeight="false" outlineLevel="0" collapsed="false">
      <c r="B37" s="18" t="s">
        <v>77</v>
      </c>
      <c r="C37" s="59" t="s">
        <v>133</v>
      </c>
      <c r="D37" s="59"/>
      <c r="E37" s="59"/>
      <c r="F37" s="42" t="s">
        <v>134</v>
      </c>
    </row>
    <row r="38" customFormat="false" ht="16.4" hidden="false" customHeight="true" outlineLevel="0" collapsed="false">
      <c r="B38" s="18" t="s">
        <v>14</v>
      </c>
      <c r="C38" s="43" t="s">
        <v>80</v>
      </c>
      <c r="D38" s="43"/>
      <c r="E38" s="43"/>
      <c r="F38" s="78" t="n">
        <f aca="false">PERC_HORA_EXTRA</f>
        <v>0</v>
      </c>
    </row>
    <row r="39" customFormat="false" ht="16.4" hidden="false" customHeight="true" outlineLevel="0" collapsed="false">
      <c r="B39" s="18" t="s">
        <v>16</v>
      </c>
      <c r="C39" s="22" t="s">
        <v>81</v>
      </c>
      <c r="D39" s="22"/>
      <c r="E39" s="22"/>
      <c r="F39" s="79" t="n">
        <f aca="false">TEMPO_INTERVALO_REFEICAO</f>
        <v>0</v>
      </c>
    </row>
    <row r="40" s="48" customFormat="true" ht="16.5" hidden="false" customHeight="false" outlineLevel="0" collapsed="false"/>
    <row r="41" customFormat="false" ht="21" hidden="false" customHeight="false" outlineLevel="0" collapsed="false">
      <c r="B41" s="74" t="s">
        <v>99</v>
      </c>
      <c r="C41" s="75"/>
      <c r="D41" s="75"/>
      <c r="E41" s="75"/>
      <c r="F41" s="76"/>
    </row>
    <row r="42" customFormat="false" ht="31.25" hidden="false" customHeight="true" outlineLevel="0" collapsed="false">
      <c r="B42" s="77" t="s">
        <v>100</v>
      </c>
      <c r="C42" s="77"/>
      <c r="D42" s="77"/>
      <c r="E42" s="77"/>
      <c r="F42" s="77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39:E39"/>
    <mergeCell ref="B42:F42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8:F39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F26" activeCellId="1" sqref="F70:F71 F26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22.01"/>
    <col collapsed="false" customWidth="true" hidden="false" outlineLevel="0" max="5" min="5" style="1" width="13.55"/>
    <col collapsed="false" customWidth="true" hidden="false" outlineLevel="0" max="6" min="6" style="1" width="43.82"/>
    <col collapsed="false" customWidth="true" hidden="false" outlineLevel="0" max="7" min="7" style="1" width="51.73"/>
    <col collapsed="false" customWidth="true" hidden="false" outlineLevel="0" max="1025" min="8" style="1" width="9.09"/>
  </cols>
  <sheetData>
    <row r="1" s="5" customFormat="true" ht="2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8" t="s">
        <v>137</v>
      </c>
      <c r="C4" s="59" t="s">
        <v>138</v>
      </c>
      <c r="D4" s="59"/>
      <c r="E4" s="42" t="s">
        <v>74</v>
      </c>
      <c r="F4" s="42" t="s">
        <v>139</v>
      </c>
    </row>
    <row r="5" customFormat="false" ht="16.5" hidden="false" customHeight="true" outlineLevel="0" collapsed="false">
      <c r="B5" s="18" t="s">
        <v>14</v>
      </c>
      <c r="C5" s="71" t="s">
        <v>140</v>
      </c>
      <c r="D5" s="71"/>
      <c r="E5" s="87" t="n">
        <f aca="false">(1/MESES_NO_ANO)*100</f>
        <v>8.33333333333333</v>
      </c>
      <c r="F5" s="87" t="s">
        <v>141</v>
      </c>
    </row>
    <row r="6" customFormat="false" ht="16.5" hidden="false" customHeight="true" outlineLevel="0" collapsed="false">
      <c r="B6" s="42" t="s">
        <v>16</v>
      </c>
      <c r="C6" s="22" t="s">
        <v>142</v>
      </c>
      <c r="D6" s="22"/>
      <c r="E6" s="88" t="n">
        <f aca="false">(1/3)/MESES_NO_ANO*100</f>
        <v>2.77777777777778</v>
      </c>
      <c r="F6" s="88" t="s">
        <v>143</v>
      </c>
    </row>
    <row r="7" s="48" customFormat="true" ht="16.5" hidden="false" customHeight="true" outlineLevel="0" collapsed="false">
      <c r="B7" s="89" t="s">
        <v>144</v>
      </c>
      <c r="C7" s="89"/>
      <c r="D7" s="89"/>
      <c r="E7" s="89"/>
      <c r="F7" s="89"/>
    </row>
    <row r="8" s="48" customFormat="true" ht="34.5" hidden="false" customHeight="true" outlineLevel="0" collapsed="false">
      <c r="B8" s="18" t="s">
        <v>145</v>
      </c>
      <c r="C8" s="90" t="s">
        <v>146</v>
      </c>
      <c r="D8" s="90"/>
      <c r="E8" s="42" t="s">
        <v>74</v>
      </c>
    </row>
    <row r="9" customFormat="false" ht="16.5" hidden="false" customHeight="true" outlineLevel="0" collapsed="false">
      <c r="B9" s="18" t="s">
        <v>14</v>
      </c>
      <c r="C9" s="71" t="s">
        <v>147</v>
      </c>
      <c r="D9" s="71"/>
      <c r="E9" s="87" t="n">
        <v>20</v>
      </c>
    </row>
    <row r="10" s="5" customFormat="true" ht="16.5" hidden="false" customHeight="true" outlineLevel="0" collapsed="false">
      <c r="B10" s="42" t="s">
        <v>16</v>
      </c>
      <c r="C10" s="22" t="s">
        <v>148</v>
      </c>
      <c r="D10" s="22"/>
      <c r="E10" s="91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7" t="n">
        <v>3</v>
      </c>
    </row>
    <row r="12" s="5" customFormat="true" ht="16.5" hidden="false" customHeight="true" outlineLevel="0" collapsed="false">
      <c r="B12" s="42" t="s">
        <v>22</v>
      </c>
      <c r="C12" s="22" t="s">
        <v>150</v>
      </c>
      <c r="D12" s="22"/>
      <c r="E12" s="88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7" t="n">
        <v>1</v>
      </c>
    </row>
    <row r="14" s="5" customFormat="true" ht="16.5" hidden="false" customHeight="true" outlineLevel="0" collapsed="false">
      <c r="B14" s="42" t="s">
        <v>51</v>
      </c>
      <c r="C14" s="22" t="s">
        <v>152</v>
      </c>
      <c r="D14" s="22"/>
      <c r="E14" s="91" t="n">
        <v>0.6</v>
      </c>
    </row>
    <row r="15" s="5" customFormat="true" ht="16.5" hidden="false" customHeight="true" outlineLevel="0" collapsed="false">
      <c r="B15" s="42" t="s">
        <v>53</v>
      </c>
      <c r="C15" s="71" t="s">
        <v>153</v>
      </c>
      <c r="D15" s="71"/>
      <c r="E15" s="87" t="n">
        <v>0.2</v>
      </c>
    </row>
    <row r="16" customFormat="false" ht="16.5" hidden="false" customHeight="true" outlineLevel="0" collapsed="false">
      <c r="B16" s="42" t="s">
        <v>130</v>
      </c>
      <c r="C16" s="22" t="s">
        <v>154</v>
      </c>
      <c r="D16" s="22"/>
      <c r="E16" s="91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2" t="n">
        <f aca="false">SUM(E9:E16)</f>
        <v>36.8</v>
      </c>
    </row>
    <row r="18" s="48" customFormat="true" ht="16.5" hidden="false" customHeight="false" outlineLevel="0" collapsed="false">
      <c r="B18" s="39" t="s">
        <v>115</v>
      </c>
      <c r="C18" s="55"/>
      <c r="D18" s="56"/>
      <c r="E18" s="57"/>
    </row>
    <row r="19" s="48" customFormat="true" ht="15" hidden="false" customHeight="true" outlineLevel="0" collapsed="false">
      <c r="B19" s="18" t="n">
        <v>3</v>
      </c>
      <c r="C19" s="59" t="s">
        <v>116</v>
      </c>
      <c r="D19" s="59"/>
      <c r="E19" s="42" t="s">
        <v>74</v>
      </c>
      <c r="F19" s="42" t="s">
        <v>139</v>
      </c>
    </row>
    <row r="20" s="48" customFormat="true" ht="16.5" hidden="false" customHeight="false" outlineLevel="0" collapsed="false">
      <c r="B20" s="18" t="s">
        <v>14</v>
      </c>
      <c r="C20" s="93" t="s">
        <v>156</v>
      </c>
      <c r="D20" s="93"/>
      <c r="E20" s="87" t="n">
        <f aca="false">PERC_EMPREG_DEMIT_SEM_JUSTA_CAUSA_TOTAL_DESLIG%*PERC_EMPREG_AVISO_PREVIO_IND%*1/MESES_NO_ANO*100</f>
        <v>0.26011</v>
      </c>
      <c r="F20" s="87" t="s">
        <v>157</v>
      </c>
    </row>
    <row r="21" s="48" customFormat="true" ht="16.5" hidden="false" customHeight="false" outlineLevel="0" collapsed="false">
      <c r="B21" s="42" t="s">
        <v>16</v>
      </c>
      <c r="C21" s="94" t="s">
        <v>158</v>
      </c>
      <c r="D21" s="94"/>
      <c r="E21" s="91" t="n">
        <f aca="false">PERC_FGTS%*PERC_AVISO_PREVIO_IND</f>
        <v>0.0208088</v>
      </c>
      <c r="F21" s="88" t="s">
        <v>159</v>
      </c>
    </row>
    <row r="22" s="5" customFormat="true" ht="16.5" hidden="false" customHeight="false" outlineLevel="0" collapsed="false">
      <c r="B22" s="42" t="s">
        <v>19</v>
      </c>
      <c r="C22" s="93" t="s">
        <v>160</v>
      </c>
      <c r="D22" s="93"/>
      <c r="E22" s="87" t="n">
        <f aca="false">PERC_AVISO_PREVIO_IND%*(PERC_MULTA_FGTS%)*PERC_FGTS%*100</f>
        <v>0.00832352</v>
      </c>
      <c r="F22" s="87" t="s">
        <v>161</v>
      </c>
    </row>
    <row r="23" s="48" customFormat="true" ht="16.5" hidden="false" customHeight="false" outlineLevel="0" collapsed="false">
      <c r="B23" s="42" t="s">
        <v>22</v>
      </c>
      <c r="C23" s="94" t="s">
        <v>162</v>
      </c>
      <c r="D23" s="94"/>
      <c r="E23" s="91" t="n">
        <f aca="false">PERC_EMPREG_DEMIT_SEM_JUSTA_CAUSA_TOTAL_DESLIG%*PERC_EMPREG_AVISO_PREVIO_TRAB%*(DIAS_NA_SEMANA/DIAS_NO_MES)/MESES_NO_ANO*100</f>
        <v>1.03286322222222</v>
      </c>
      <c r="F23" s="88" t="s">
        <v>163</v>
      </c>
    </row>
    <row r="24" s="5" customFormat="true" ht="16.5" hidden="false" customHeight="false" outlineLevel="0" collapsed="false">
      <c r="B24" s="42" t="s">
        <v>25</v>
      </c>
      <c r="C24" s="93" t="s">
        <v>164</v>
      </c>
      <c r="D24" s="93"/>
      <c r="E24" s="87" t="n">
        <f aca="false">PERC_GPS_FGTS*PERC_AVISO_PREVIO_TRAB%</f>
        <v>0.380093665777778</v>
      </c>
      <c r="F24" s="87" t="s">
        <v>165</v>
      </c>
    </row>
    <row r="25" s="5" customFormat="true" ht="16.5" hidden="false" customHeight="false" outlineLevel="0" collapsed="false">
      <c r="B25" s="42" t="s">
        <v>51</v>
      </c>
      <c r="C25" s="94" t="s">
        <v>166</v>
      </c>
      <c r="D25" s="94"/>
      <c r="E25" s="91" t="n">
        <f aca="false">ROUNDUP(PERC_AVISO_PREVIO_TRAB%*(PERC_MULTA_FGTS%)*PERC_FGTS%*100,2)</f>
        <v>0.04</v>
      </c>
      <c r="F25" s="88" t="s">
        <v>167</v>
      </c>
    </row>
    <row r="26" s="5" customFormat="true" ht="16" hidden="false" customHeight="true" outlineLevel="0" collapsed="false">
      <c r="B26" s="39" t="s">
        <v>70</v>
      </c>
      <c r="C26" s="55"/>
      <c r="D26" s="56"/>
      <c r="E26" s="1"/>
    </row>
    <row r="27" s="5" customFormat="true" ht="16" hidden="false" customHeight="true" outlineLevel="0" collapsed="false">
      <c r="B27" s="39" t="s">
        <v>71</v>
      </c>
      <c r="C27" s="55"/>
      <c r="D27" s="56"/>
      <c r="E27" s="57"/>
    </row>
    <row r="28" s="5" customFormat="true" ht="16.5" hidden="false" customHeight="true" outlineLevel="0" collapsed="false">
      <c r="B28" s="18" t="s">
        <v>72</v>
      </c>
      <c r="C28" s="41" t="s">
        <v>73</v>
      </c>
      <c r="D28" s="41"/>
      <c r="E28" s="42" t="s">
        <v>74</v>
      </c>
      <c r="F28" s="42" t="s">
        <v>139</v>
      </c>
    </row>
    <row r="29" s="5" customFormat="true" ht="16" hidden="false" customHeight="true" outlineLevel="0" collapsed="false">
      <c r="B29" s="42" t="s">
        <v>14</v>
      </c>
      <c r="C29" s="71" t="s">
        <v>168</v>
      </c>
      <c r="D29" s="71"/>
      <c r="E29" s="87" t="n">
        <f aca="false">(1/MESES_NO_ANO)*100</f>
        <v>8.33333333333333</v>
      </c>
      <c r="F29" s="87" t="s">
        <v>169</v>
      </c>
    </row>
    <row r="30" s="5" customFormat="true" ht="16" hidden="false" customHeight="true" outlineLevel="0" collapsed="false">
      <c r="B30" s="42" t="s">
        <v>16</v>
      </c>
      <c r="C30" s="22" t="s">
        <v>170</v>
      </c>
      <c r="D30" s="22"/>
      <c r="E30" s="91" t="n">
        <f aca="false">(DIAS_AUSENCIAS_LEGAIS/DIAS_NO_MES)/MESES_NO_ANO*100</f>
        <v>2.22222222222222</v>
      </c>
      <c r="F30" s="88" t="s">
        <v>171</v>
      </c>
    </row>
    <row r="31" s="5" customFormat="true" ht="16" hidden="false" customHeight="true" outlineLevel="0" collapsed="false">
      <c r="B31" s="42" t="s">
        <v>19</v>
      </c>
      <c r="C31" s="71" t="s">
        <v>172</v>
      </c>
      <c r="D31" s="71"/>
      <c r="E31" s="87" t="n">
        <f aca="false">(((DIAS_LICENCA_PATERNIDADE/DIAS_NO_MES)/MESES_NO_ANO)*PERC_NASCIDOS_VIVOS_POPUL_FEM%*PERC_PARTIC_MASC_VIGIL%)*100</f>
        <v>0.0356735555555555</v>
      </c>
      <c r="F31" s="87" t="s">
        <v>173</v>
      </c>
    </row>
    <row r="32" s="5" customFormat="true" ht="16.5" hidden="false" customHeight="true" outlineLevel="0" collapsed="false">
      <c r="B32" s="42" t="s">
        <v>22</v>
      </c>
      <c r="C32" s="22" t="s">
        <v>174</v>
      </c>
      <c r="D32" s="22"/>
      <c r="E32" s="91" t="n">
        <f aca="false">(DIAS_PAGOS_EMPRESA_ACID_TRAB/DIAS_NO_MES)/MESES_NO_ANO*PERC_EMPREG_AFAST_TRAB%*100</f>
        <v>0.0185302229372558</v>
      </c>
      <c r="F32" s="88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7" t="n">
        <f aca="false">(((DIAS_LICENCA_MATERNIDADE/DIAS_NO_MES)/MESES_NO_ANO)*PERC_NASCIDOS_VIVOS_POPUL_FEM%*PERC_PARTIC_FEM_VIGIL%*PERC_GPS_FGTS%*100)</f>
        <v>0.143129184</v>
      </c>
      <c r="F33" s="87" t="s">
        <v>177</v>
      </c>
    </row>
    <row r="34" s="5" customFormat="true" ht="16.5" hidden="false" customHeight="false" outlineLevel="0" collapsed="false">
      <c r="B34" s="42" t="s">
        <v>51</v>
      </c>
      <c r="C34" s="22" t="str">
        <f aca="false">OUTRAS_AUSENCIAS_DESCRICAO</f>
        <v>Outras Ausências (Especificar - em %)</v>
      </c>
      <c r="D34" s="22"/>
      <c r="E34" s="91" t="n">
        <f aca="false">PERC_SUBSTITUTO_OUTRAS_AUSENCIAS</f>
        <v>0</v>
      </c>
      <c r="F34" s="88"/>
    </row>
    <row r="36" customFormat="false" ht="21" hidden="false" customHeight="false" outlineLevel="0" collapsed="false">
      <c r="B36" s="74" t="s">
        <v>99</v>
      </c>
    </row>
    <row r="37" customFormat="false" ht="42.75" hidden="false" customHeight="true" outlineLevel="0" collapsed="false">
      <c r="B37" s="77" t="s">
        <v>100</v>
      </c>
      <c r="C37" s="77"/>
      <c r="D37" s="77"/>
      <c r="E37" s="77"/>
      <c r="G37" s="95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9"/>
  <sheetViews>
    <sheetView showFormulas="false" showGridLines="true" showRowColHeaders="true" showZeros="true" rightToLeft="false" tabSelected="false" showOutlineSymbols="true" defaultGridColor="true" view="normal" topLeftCell="A82" colorId="64" zoomScale="100" zoomScaleNormal="100" zoomScalePageLayoutView="100" workbookViewId="0">
      <selection pane="topLeft" activeCell="F12" activeCellId="1" sqref="F70:F71 F12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7.91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96" t="str">
        <f aca="false">RAMO</f>
        <v>RAMO: MINISTÉRIO PÚBLICO FEDERAL</v>
      </c>
      <c r="C1" s="96"/>
      <c r="D1" s="96"/>
      <c r="E1" s="96"/>
      <c r="F1" s="96"/>
    </row>
    <row r="2" customFormat="false" ht="21" hidden="false" customHeight="false" outlineLevel="0" collapsed="false">
      <c r="B2" s="97" t="str">
        <f aca="false">UG</f>
        <v>UNIDADE GESTORA (SIGLA): PR/AP</v>
      </c>
      <c r="C2" s="97"/>
      <c r="D2" s="97"/>
      <c r="E2" s="98" t="s">
        <v>2</v>
      </c>
      <c r="F2" s="99" t="str">
        <f aca="false">DATA_DO_ORCAMENTO_ESTIMATIVO</f>
        <v>XX/XX/2025</v>
      </c>
    </row>
    <row r="3" s="5" customFormat="true" ht="2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6" hidden="false" customHeight="true" outlineLevel="0" collapsed="false">
      <c r="B4" s="7" t="s">
        <v>5</v>
      </c>
      <c r="C4" s="7"/>
      <c r="D4" s="7"/>
      <c r="E4" s="7"/>
      <c r="F4" s="7"/>
    </row>
    <row r="5" s="5" customFormat="true" ht="16" hidden="false" customHeight="true" outlineLevel="0" collapsed="false">
      <c r="B5" s="8" t="s">
        <v>6</v>
      </c>
      <c r="C5" s="8"/>
      <c r="D5" s="23" t="str">
        <f aca="false">NUMERO_PROCESSO</f>
        <v>1.22.000.000988/2024-16</v>
      </c>
      <c r="E5" s="23"/>
      <c r="F5" s="23"/>
    </row>
    <row r="6" s="5" customFormat="true" ht="15.75" hidden="false" customHeight="true" outlineLevel="0" collapsed="false">
      <c r="B6" s="10" t="s">
        <v>179</v>
      </c>
      <c r="C6" s="10"/>
      <c r="D6" s="100" t="str">
        <f aca="false">MODALIDADE_DE_LICITACAO</f>
        <v>Pregão nº</v>
      </c>
      <c r="E6" s="100"/>
      <c r="F6" s="101" t="str">
        <f aca="false">NUMERO_PREGAO</f>
        <v>XX/2025</v>
      </c>
    </row>
    <row r="7" s="5" customFormat="true" ht="15.75" hidden="false" customHeight="true" outlineLevel="0" collapsed="false">
      <c r="B7" s="102" t="s">
        <v>180</v>
      </c>
      <c r="C7" s="102"/>
      <c r="D7" s="102"/>
      <c r="E7" s="102"/>
      <c r="F7" s="102"/>
    </row>
    <row r="8" s="5" customFormat="true" ht="18" hidden="false" customHeight="true" outlineLevel="0" collapsed="false">
      <c r="B8" s="16" t="s">
        <v>14</v>
      </c>
      <c r="C8" s="8" t="s">
        <v>15</v>
      </c>
      <c r="D8" s="8"/>
      <c r="E8" s="8"/>
      <c r="F8" s="103" t="str">
        <f aca="false">DATA_APRESENTACAO_PROPOSTA</f>
        <v>XX/XX/2025</v>
      </c>
    </row>
    <row r="9" s="5" customFormat="true" ht="16" hidden="false" customHeight="true" outlineLevel="0" collapsed="false">
      <c r="B9" s="18" t="s">
        <v>16</v>
      </c>
      <c r="C9" s="19" t="s">
        <v>17</v>
      </c>
      <c r="D9" s="104" t="str">
        <f aca="false">IF(LOCAL_DE_EXECUCAO="","",LOCAL_DE_EXECUCAO)</f>
        <v>PRAP</v>
      </c>
      <c r="E9" s="104"/>
      <c r="F9" s="104"/>
    </row>
    <row r="10" s="5" customFormat="true" ht="18.75" hidden="false" customHeight="true" outlineLevel="0" collapsed="false">
      <c r="B10" s="16" t="s">
        <v>19</v>
      </c>
      <c r="C10" s="8" t="s">
        <v>181</v>
      </c>
      <c r="D10" s="8"/>
      <c r="E10" s="8"/>
      <c r="F10" s="105" t="str">
        <f aca="false">ACORDO_COLETIVO</f>
        <v>AP000003/2025</v>
      </c>
    </row>
    <row r="11" s="5" customFormat="true" ht="16" hidden="false" customHeight="true" outlineLevel="0" collapsed="false">
      <c r="B11" s="18" t="s">
        <v>22</v>
      </c>
      <c r="C11" s="84" t="s">
        <v>26</v>
      </c>
      <c r="D11" s="84"/>
      <c r="E11" s="84"/>
      <c r="F11" s="52" t="n">
        <f aca="false">NUMERO_MESES_EXEC_CONTRATUAL</f>
        <v>24</v>
      </c>
    </row>
    <row r="12" s="5" customFormat="true" ht="16.5" hidden="false" customHeight="false" outlineLevel="0" collapsed="false">
      <c r="B12" s="18" t="s">
        <v>25</v>
      </c>
      <c r="C12" s="106" t="s">
        <v>182</v>
      </c>
      <c r="D12" s="106"/>
      <c r="E12" s="106"/>
      <c r="F12" s="23" t="n">
        <f aca="false">IF(QTDE_POSTOS="","",QTDE_POSTOS)</f>
        <v>2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6" t="n">
        <v>1</v>
      </c>
      <c r="C14" s="8" t="s">
        <v>183</v>
      </c>
      <c r="D14" s="8"/>
      <c r="E14" s="23" t="str">
        <f aca="false">IF(TIPO_DE_SERVICO="","",TIPO_DE_SERVICO)</f>
        <v>Copeiragem</v>
      </c>
      <c r="F14" s="23"/>
    </row>
    <row r="15" s="5" customFormat="true" ht="16.5" hidden="false" customHeight="false" outlineLevel="0" collapsed="false">
      <c r="B15" s="16" t="n">
        <v>2</v>
      </c>
      <c r="C15" s="32" t="s">
        <v>36</v>
      </c>
      <c r="D15" s="52" t="str">
        <f aca="false">IF(CBO="","",CBO)</f>
        <v>5134-25</v>
      </c>
      <c r="E15" s="52"/>
      <c r="F15" s="52"/>
    </row>
    <row r="16" s="5" customFormat="true" ht="15" hidden="false" customHeight="true" outlineLevel="0" collapsed="false">
      <c r="B16" s="16" t="n">
        <v>3</v>
      </c>
      <c r="C16" s="31" t="s">
        <v>38</v>
      </c>
      <c r="D16" s="23" t="str">
        <f aca="false">IF(CATEGORIA_PROFISSIONAL="","",CATEGORIA_PROFISSIONAL)</f>
        <v>Copeira</v>
      </c>
      <c r="E16" s="23"/>
      <c r="F16" s="23"/>
    </row>
    <row r="17" s="5" customFormat="true" ht="15" hidden="false" customHeight="true" outlineLevel="0" collapsed="false">
      <c r="B17" s="16" t="n">
        <v>4</v>
      </c>
      <c r="C17" s="10" t="s">
        <v>40</v>
      </c>
      <c r="D17" s="10"/>
      <c r="E17" s="10"/>
      <c r="F17" s="110" t="n">
        <f aca="false">DATA_BASE_CATEGORIA</f>
        <v>45658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8" t="n">
        <v>1</v>
      </c>
      <c r="C21" s="41" t="s">
        <v>44</v>
      </c>
      <c r="D21" s="41"/>
      <c r="E21" s="41"/>
      <c r="F21" s="42" t="s">
        <v>84</v>
      </c>
    </row>
    <row r="22" customFormat="false" ht="16.5" hidden="false" customHeight="true" outlineLevel="0" collapsed="false">
      <c r="B22" s="18" t="s">
        <v>14</v>
      </c>
      <c r="C22" s="43" t="s">
        <v>186</v>
      </c>
      <c r="D22" s="43"/>
      <c r="E22" s="43"/>
      <c r="F22" s="114" t="n">
        <f aca="false">SALARIO_BASE</f>
        <v>1617.02</v>
      </c>
    </row>
    <row r="23" customFormat="false" ht="16.5" hidden="false" customHeight="true" outlineLevel="0" collapsed="false">
      <c r="B23" s="18" t="s">
        <v>16</v>
      </c>
      <c r="C23" s="22" t="s">
        <v>187</v>
      </c>
      <c r="D23" s="22"/>
      <c r="E23" s="22"/>
      <c r="F23" s="115" t="n">
        <f aca="false">PERC_ADIC_PERIC%*SALARIO_BASE</f>
        <v>0</v>
      </c>
    </row>
    <row r="24" customFormat="false" ht="15.75" hidden="false" customHeight="true" outlineLevel="0" collapsed="false">
      <c r="B24" s="18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8" t="s">
        <v>22</v>
      </c>
      <c r="C25" s="22" t="s">
        <v>189</v>
      </c>
      <c r="D25" s="22"/>
      <c r="E25" s="22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8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8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8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8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1617.02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8" t="s">
        <v>137</v>
      </c>
      <c r="C33" s="59" t="s">
        <v>138</v>
      </c>
      <c r="D33" s="59"/>
      <c r="E33" s="42" t="s">
        <v>74</v>
      </c>
      <c r="F33" s="42" t="s">
        <v>84</v>
      </c>
    </row>
    <row r="34" customFormat="false" ht="16.5" hidden="false" customHeight="true" outlineLevel="0" collapsed="false">
      <c r="B34" s="18" t="s">
        <v>14</v>
      </c>
      <c r="C34" s="71" t="s">
        <v>140</v>
      </c>
      <c r="D34" s="71"/>
      <c r="E34" s="87" t="n">
        <f aca="false">PERC_DEC_TERC</f>
        <v>8.33333333333333</v>
      </c>
      <c r="F34" s="83" t="n">
        <f aca="false">PERC_DEC_TERC%*MOD_1_REMUNERACAO</f>
        <v>134.751666666667</v>
      </c>
    </row>
    <row r="35" customFormat="false" ht="16.5" hidden="false" customHeight="true" outlineLevel="0" collapsed="false">
      <c r="B35" s="42" t="s">
        <v>16</v>
      </c>
      <c r="C35" s="22" t="s">
        <v>142</v>
      </c>
      <c r="D35" s="22"/>
      <c r="E35" s="88" t="n">
        <f aca="false">PERC_ADIC_FERIAS</f>
        <v>2.77777777777778</v>
      </c>
      <c r="F35" s="85" t="n">
        <f aca="false">PERC_ADIC_FERIAS%*MOD_1_REMUNERACAO</f>
        <v>44.9172222222222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179.668888888889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8" t="s">
        <v>145</v>
      </c>
      <c r="C38" s="90" t="s">
        <v>146</v>
      </c>
      <c r="D38" s="90"/>
      <c r="E38" s="42" t="s">
        <v>74</v>
      </c>
      <c r="F38" s="42" t="s">
        <v>84</v>
      </c>
    </row>
    <row r="39" customFormat="false" ht="16.5" hidden="false" customHeight="true" outlineLevel="0" collapsed="false">
      <c r="B39" s="18" t="s">
        <v>14</v>
      </c>
      <c r="C39" s="71" t="s">
        <v>147</v>
      </c>
      <c r="D39" s="71"/>
      <c r="E39" s="87" t="n">
        <f aca="false">PERC_INSS</f>
        <v>20</v>
      </c>
      <c r="F39" s="83" t="n">
        <f aca="false">PERC_INSS%*(MOD_1_REMUNERACAO+SUBMOD_2_1_DEC_TERC_ADIC_FERIAS)</f>
        <v>359.337777777778</v>
      </c>
    </row>
    <row r="40" s="5" customFormat="true" ht="16.5" hidden="false" customHeight="true" outlineLevel="0" collapsed="false">
      <c r="B40" s="42" t="s">
        <v>16</v>
      </c>
      <c r="C40" s="22" t="s">
        <v>148</v>
      </c>
      <c r="D40" s="22"/>
      <c r="E40" s="91" t="n">
        <f aca="false">PERC_SAL_EDUCACAO</f>
        <v>2.5</v>
      </c>
      <c r="F40" s="85" t="n">
        <f aca="false">PERC_SAL_EDUCACAO%*(MOD_1_REMUNERACAO+SUBMOD_2_1_DEC_TERC_ADIC_FERIAS)</f>
        <v>44.9172222222222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7" t="n">
        <f aca="false">PERC_RAT</f>
        <v>3</v>
      </c>
      <c r="F41" s="83" t="n">
        <f aca="false">PERC_RAT%*(MOD_1_REMUNERACAO+SUBMOD_2_1_DEC_TERC_ADIC_FERIAS)</f>
        <v>53.9006666666667</v>
      </c>
    </row>
    <row r="42" s="5" customFormat="true" ht="16.5" hidden="false" customHeight="true" outlineLevel="0" collapsed="false">
      <c r="B42" s="42" t="s">
        <v>22</v>
      </c>
      <c r="C42" s="22" t="s">
        <v>150</v>
      </c>
      <c r="D42" s="22"/>
      <c r="E42" s="88" t="n">
        <f aca="false">PERC_SESC</f>
        <v>1.5</v>
      </c>
      <c r="F42" s="85" t="n">
        <f aca="false">PERC_SESC%*(MOD_1_REMUNERACAO+SUBMOD_2_1_DEC_TERC_ADIC_FERIAS)</f>
        <v>26.9503333333333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7" t="n">
        <f aca="false">PERC_SENAC</f>
        <v>1</v>
      </c>
      <c r="F43" s="83" t="n">
        <f aca="false">PERC_SENAC%*(MOD_1_REMUNERACAO+SUBMOD_2_1_DEC_TERC_ADIC_FERIAS)</f>
        <v>17.9668888888889</v>
      </c>
    </row>
    <row r="44" s="5" customFormat="true" ht="16.5" hidden="false" customHeight="true" outlineLevel="0" collapsed="false">
      <c r="B44" s="42" t="s">
        <v>51</v>
      </c>
      <c r="C44" s="22" t="s">
        <v>152</v>
      </c>
      <c r="D44" s="22"/>
      <c r="E44" s="91" t="n">
        <f aca="false">PERC_SEBRAE</f>
        <v>0.6</v>
      </c>
      <c r="F44" s="85" t="n">
        <f aca="false">PERC_SEBRAE%*(MOD_1_REMUNERACAO+SUBMOD_2_1_DEC_TERC_ADIC_FERIAS)</f>
        <v>10.7801333333333</v>
      </c>
    </row>
    <row r="45" s="5" customFormat="true" ht="16.5" hidden="false" customHeight="true" outlineLevel="0" collapsed="false">
      <c r="B45" s="42" t="s">
        <v>53</v>
      </c>
      <c r="C45" s="71" t="s">
        <v>153</v>
      </c>
      <c r="D45" s="71"/>
      <c r="E45" s="87" t="n">
        <f aca="false">PERC_INCRA</f>
        <v>0.2</v>
      </c>
      <c r="F45" s="83" t="n">
        <f aca="false">PERC_INCRA%*(MOD_1_REMUNERACAO+SUBMOD_2_1_DEC_TERC_ADIC_FERIAS)</f>
        <v>3.59337777777778</v>
      </c>
    </row>
    <row r="46" customFormat="false" ht="16.5" hidden="false" customHeight="true" outlineLevel="0" collapsed="false">
      <c r="B46" s="42" t="s">
        <v>130</v>
      </c>
      <c r="C46" s="22" t="s">
        <v>154</v>
      </c>
      <c r="D46" s="22"/>
      <c r="E46" s="91" t="n">
        <f aca="false">PERC_FGTS</f>
        <v>8</v>
      </c>
      <c r="F46" s="85" t="n">
        <f aca="false">PERC_FGTS%*(MOD_1_REMUNERACAO+SUBMOD_2_1_DEC_TERC_ADIC_FERIAS)</f>
        <v>143.735111111111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661.181511111111</v>
      </c>
    </row>
    <row r="48" customFormat="false" ht="15.75" hidden="false" customHeight="true" outlineLevel="0" collapsed="false">
      <c r="B48" s="39" t="s">
        <v>56</v>
      </c>
      <c r="C48" s="5"/>
      <c r="D48" s="5"/>
      <c r="E48" s="5"/>
      <c r="F48" s="5"/>
    </row>
    <row r="49" customFormat="false" ht="15.75" hidden="false" customHeight="true" outlineLevel="0" collapsed="false">
      <c r="B49" s="18" t="s">
        <v>57</v>
      </c>
      <c r="C49" s="41" t="s">
        <v>58</v>
      </c>
      <c r="D49" s="41"/>
      <c r="E49" s="41"/>
      <c r="F49" s="42" t="s">
        <v>84</v>
      </c>
    </row>
    <row r="50" customFormat="false" ht="16.4" hidden="false" customHeight="true" outlineLevel="0" collapsed="false">
      <c r="B50" s="16" t="s">
        <v>14</v>
      </c>
      <c r="C50" s="71" t="s">
        <v>61</v>
      </c>
      <c r="D50" s="71"/>
      <c r="E50" s="71"/>
      <c r="F50" s="83" t="n">
        <f aca="false">IF(((TRANSPORTE_POR_DIA*DIAS_TRABALHADOS_NO_MES)-(PERC_DESC_TRANSP_REMUNERACAO%*(AL_1_A_SAL_BASE)))&gt;0,((TRANSPORTE_POR_DIA*DIAS_TRABALHADOS_NO_MES)-(PERC_DESC_TRANSP_REMUNERACAO%*(AL_1_A_SAL_BASE))),0)</f>
        <v>65.7788</v>
      </c>
    </row>
    <row r="51" s="48" customFormat="true" ht="16.4" hidden="false" customHeight="true" outlineLevel="0" collapsed="false">
      <c r="B51" s="16" t="s">
        <v>16</v>
      </c>
      <c r="C51" s="22" t="s">
        <v>63</v>
      </c>
      <c r="D51" s="22"/>
      <c r="E51" s="22"/>
      <c r="F51" s="85" t="n">
        <f aca="false">ALIMENTACAO_POR_DIA*DIAS_TRABALHADOS_NO_MES</f>
        <v>594</v>
      </c>
    </row>
    <row r="52" s="48" customFormat="true" ht="16.5" hidden="false" customHeight="false" outlineLevel="0" collapsed="false">
      <c r="B52" s="16" t="s">
        <v>19</v>
      </c>
      <c r="C52" s="43" t="str">
        <f aca="false">OUTROS_BENEFICIOS_1_DESCRICAO</f>
        <v>Benefício Social (CCT, Cláusula 15ª)</v>
      </c>
      <c r="D52" s="43"/>
      <c r="E52" s="43"/>
      <c r="F52" s="83" t="n">
        <v>20.79</v>
      </c>
    </row>
    <row r="53" s="48" customFormat="true" ht="16.5" hidden="false" customHeight="false" outlineLevel="0" collapsed="false">
      <c r="B53" s="16" t="s">
        <v>22</v>
      </c>
      <c r="C53" s="46" t="str">
        <f aca="false">OUTROS_BENEFICIOS_2_DESCRICAO</f>
        <v>Outros Benefícios 2</v>
      </c>
      <c r="D53" s="46"/>
      <c r="E53" s="46"/>
      <c r="F53" s="85" t="n">
        <f aca="false">OUTROS_BENEFICIOS_2/MESES_NO_ANO</f>
        <v>0</v>
      </c>
    </row>
    <row r="54" s="48" customFormat="true" ht="16.5" hidden="false" customHeight="false" outlineLevel="0" collapsed="false">
      <c r="B54" s="16" t="s">
        <v>25</v>
      </c>
      <c r="C54" s="43" t="str">
        <f aca="false">OUTROS_BENEFICIOS_3_DESCRICAO</f>
        <v>Outros Benefícios 3</v>
      </c>
      <c r="D54" s="43"/>
      <c r="E54" s="43"/>
      <c r="F54" s="83" t="n">
        <f aca="false">OUTROS_BENEFICIOS_3</f>
        <v>0</v>
      </c>
    </row>
    <row r="55" s="48" customFormat="true" ht="16.4" hidden="false" customHeight="true" outlineLevel="0" collapsed="false">
      <c r="B55" s="16" t="s">
        <v>51</v>
      </c>
      <c r="C55" s="46" t="s">
        <v>191</v>
      </c>
      <c r="D55" s="46"/>
      <c r="E55" s="46"/>
      <c r="F55" s="85" t="n">
        <f aca="false">'INSERÇÃO-DE-DADOS'!F47/MESES_NO_ANO</f>
        <v>0</v>
      </c>
    </row>
    <row r="56" s="48" customFormat="true" ht="15" hidden="false" customHeight="true" outlineLevel="0" collapsed="false">
      <c r="B56" s="41" t="s">
        <v>155</v>
      </c>
      <c r="C56" s="41"/>
      <c r="D56" s="41"/>
      <c r="E56" s="41"/>
      <c r="F56" s="117" t="n">
        <f aca="false">SUM(F50:F55)</f>
        <v>680.5688</v>
      </c>
    </row>
    <row r="57" s="48" customFormat="true" ht="16.5" hidden="false" customHeight="false" outlineLevel="0" collapsed="false">
      <c r="B57" s="39" t="s">
        <v>115</v>
      </c>
      <c r="C57" s="55"/>
      <c r="D57" s="56"/>
      <c r="E57" s="57"/>
      <c r="F57" s="57"/>
    </row>
    <row r="58" s="48" customFormat="true" ht="15" hidden="false" customHeight="true" outlineLevel="0" collapsed="false">
      <c r="B58" s="18" t="n">
        <v>3</v>
      </c>
      <c r="C58" s="59" t="s">
        <v>116</v>
      </c>
      <c r="D58" s="59"/>
      <c r="E58" s="42" t="s">
        <v>74</v>
      </c>
      <c r="F58" s="42" t="s">
        <v>84</v>
      </c>
    </row>
    <row r="59" s="48" customFormat="true" ht="16.5" hidden="false" customHeight="false" outlineLevel="0" collapsed="false">
      <c r="B59" s="18" t="s">
        <v>14</v>
      </c>
      <c r="C59" s="93" t="s">
        <v>156</v>
      </c>
      <c r="D59" s="93"/>
      <c r="E59" s="87" t="n">
        <f aca="false">PERC_AVISO_PREVIO_IND</f>
        <v>0.26011</v>
      </c>
      <c r="F59" s="83" t="n">
        <f aca="false">PERC_AVISO_PREVIO_IND%*(MOD_1_REMUNERACAO+SUBMOD_2_1_DEC_TERC_ADIC_FERIAS+AL_2_2_FGTS+SUBMOD_2_3_BENEFICIOS)</f>
        <v>6.81746437208</v>
      </c>
    </row>
    <row r="60" s="48" customFormat="true" ht="16.5" hidden="false" customHeight="false" outlineLevel="0" collapsed="false">
      <c r="B60" s="42" t="s">
        <v>16</v>
      </c>
      <c r="C60" s="94" t="s">
        <v>158</v>
      </c>
      <c r="D60" s="94"/>
      <c r="E60" s="91" t="n">
        <f aca="false">PERC_FGTS_AVISO_PREV_IND</f>
        <v>0.0208088</v>
      </c>
      <c r="F60" s="85" t="n">
        <f aca="false">PERC_FGTS_AVISO_PREV_IND%*(MOD_1_REMUNERACAO+SUBMOD_2_1_DEC_TERC_ADIC_FERIAS)</f>
        <v>0.373869397511111</v>
      </c>
    </row>
    <row r="61" s="5" customFormat="true" ht="34.5" hidden="false" customHeight="true" outlineLevel="0" collapsed="false">
      <c r="B61" s="42" t="s">
        <v>19</v>
      </c>
      <c r="C61" s="93" t="s">
        <v>160</v>
      </c>
      <c r="D61" s="93"/>
      <c r="E61" s="87" t="n">
        <f aca="false">PERC_MULTA_FGTS_AV_PREV_IND</f>
        <v>0.00832352</v>
      </c>
      <c r="F61" s="83" t="n">
        <f aca="false">PERC_MULTA_FGTS_AV_PREV_IND%*(MOD_1_REMUNERACAO+SUBMOD_2_1_DEC_TERC_ADIC_FERIAS)</f>
        <v>0.149547759004445</v>
      </c>
    </row>
    <row r="62" s="48" customFormat="true" ht="16.5" hidden="false" customHeight="false" outlineLevel="0" collapsed="false">
      <c r="B62" s="42" t="s">
        <v>22</v>
      </c>
      <c r="C62" s="94" t="s">
        <v>162</v>
      </c>
      <c r="D62" s="94"/>
      <c r="E62" s="91" t="n">
        <f aca="false">PERC_AVISO_PREVIO_TRAB</f>
        <v>1.03286322222222</v>
      </c>
      <c r="F62" s="85" t="n">
        <f aca="false">PERC_AVISO_PREVIO_TRAB%*(MOD_1_REMUNERACAO+SUBMOD_2_1_DEC_TERC_ADIC_FERIAS+SUBMOD_2_2_GPS_FGTS+SUBMOD_2_3_BENEFICIOS)</f>
        <v>32.4157842486053</v>
      </c>
    </row>
    <row r="63" s="5" customFormat="true" ht="35.25" hidden="false" customHeight="true" outlineLevel="0" collapsed="false">
      <c r="B63" s="42" t="s">
        <v>25</v>
      </c>
      <c r="C63" s="93" t="s">
        <v>164</v>
      </c>
      <c r="D63" s="93"/>
      <c r="E63" s="87" t="n">
        <f aca="false">PERC_GPS_FGTS_AVISO_PREVIO_TRAB</f>
        <v>0.380093665777778</v>
      </c>
      <c r="F63" s="83" t="n">
        <f aca="false">PERC_GPS_FGTS_AVISO_PREVIO_TRAB%*(MOD_1_REMUNERACAO+SUBMOD_2_1_DEC_TERC_ADIC_FERIAS)</f>
        <v>6.8291006603998</v>
      </c>
    </row>
    <row r="64" s="5" customFormat="true" ht="32.25" hidden="false" customHeight="true" outlineLevel="0" collapsed="false">
      <c r="B64" s="42" t="s">
        <v>51</v>
      </c>
      <c r="C64" s="94" t="s">
        <v>166</v>
      </c>
      <c r="D64" s="94"/>
      <c r="E64" s="91" t="n">
        <f aca="false">PERC_MULTA_FGTS_AV_PREV_TRAB</f>
        <v>0.04</v>
      </c>
      <c r="F64" s="85" t="n">
        <f aca="false">PERC_MULTA_FGTS_AV_PREV_TRAB%*(MOD_1_REMUNERACAO+SUBMOD_2_1_DEC_TERC_ADIC_FERIAS)</f>
        <v>0.718675555555556</v>
      </c>
    </row>
    <row r="65" s="5" customFormat="true" ht="16.5" hidden="false" customHeight="false" outlineLevel="0" collapsed="false">
      <c r="B65" s="59" t="s">
        <v>155</v>
      </c>
      <c r="C65" s="59"/>
      <c r="D65" s="59"/>
      <c r="E65" s="59"/>
      <c r="F65" s="118" t="n">
        <f aca="false">SUM(F59:F64)</f>
        <v>47.3044419931563</v>
      </c>
    </row>
    <row r="66" customFormat="false" ht="7.5" hidden="false" customHeight="true" outlineLevel="0" collapsed="false">
      <c r="B66" s="121"/>
      <c r="D66" s="30"/>
      <c r="E66" s="40"/>
      <c r="F66" s="40"/>
    </row>
    <row r="67" s="5" customFormat="true" ht="16" hidden="false" customHeight="true" outlineLevel="0" collapsed="false">
      <c r="B67" s="39" t="s">
        <v>70</v>
      </c>
      <c r="C67" s="55"/>
      <c r="D67" s="56"/>
      <c r="E67" s="1"/>
      <c r="F67" s="1"/>
    </row>
    <row r="68" s="5" customFormat="true" ht="16" hidden="false" customHeight="true" outlineLevel="0" collapsed="false">
      <c r="B68" s="39" t="s">
        <v>71</v>
      </c>
      <c r="C68" s="55"/>
      <c r="D68" s="56"/>
      <c r="E68" s="57"/>
      <c r="F68" s="57"/>
    </row>
    <row r="69" s="5" customFormat="true" ht="16.5" hidden="false" customHeight="true" outlineLevel="0" collapsed="false">
      <c r="B69" s="18" t="s">
        <v>72</v>
      </c>
      <c r="C69" s="41" t="s">
        <v>73</v>
      </c>
      <c r="D69" s="41"/>
      <c r="E69" s="42" t="s">
        <v>74</v>
      </c>
      <c r="F69" s="42" t="s">
        <v>84</v>
      </c>
    </row>
    <row r="70" s="5" customFormat="true" ht="16" hidden="false" customHeight="true" outlineLevel="0" collapsed="false">
      <c r="B70" s="42" t="s">
        <v>14</v>
      </c>
      <c r="C70" s="71" t="s">
        <v>168</v>
      </c>
      <c r="D70" s="71"/>
      <c r="E70" s="87" t="n">
        <f aca="false">PERC_SUBSTITUTO_FERIAS</f>
        <v>8.33333333333333</v>
      </c>
      <c r="F70" s="83" t="n">
        <f aca="false">PERC_SUBSTITUTO_FERIAS%*(MOD_1_REMUNERACAO+MOD_2_ENCARGOS_BENEFICIOS+MOD_3_PROVISAO_RESCISAO)</f>
        <v>265.478636832763</v>
      </c>
    </row>
    <row r="71" s="5" customFormat="true" ht="16" hidden="false" customHeight="true" outlineLevel="0" collapsed="false">
      <c r="B71" s="42" t="s">
        <v>16</v>
      </c>
      <c r="C71" s="22" t="s">
        <v>170</v>
      </c>
      <c r="D71" s="22"/>
      <c r="E71" s="91" t="n">
        <f aca="false">PERC_SUBSTITUTO_AUSENCIAS_LEGAIS</f>
        <v>2.22222222222222</v>
      </c>
      <c r="F71" s="85" t="n">
        <f aca="false">PERC_SUBSTITUTO_AUSENCIAS_LEGAIS%*(MOD_1_REMUNERACAO+MOD_2_ENCARGOS_BENEFICIOS+MOD_3_PROVISAO_RESCISAO)</f>
        <v>70.7943031554035</v>
      </c>
    </row>
    <row r="72" s="5" customFormat="true" ht="16" hidden="false" customHeight="true" outlineLevel="0" collapsed="false">
      <c r="B72" s="42" t="s">
        <v>19</v>
      </c>
      <c r="C72" s="71" t="s">
        <v>172</v>
      </c>
      <c r="D72" s="71"/>
      <c r="E72" s="87" t="n">
        <f aca="false">PERC_SUBSTITUTO_LICENCA_PATERNIDADE</f>
        <v>0.0356735555555555</v>
      </c>
      <c r="F72" s="83" t="n">
        <f aca="false">PERC_SUBSTITUTO_LICENCA_PATERNIDADE%*(MOD_1_REMUNERACAO+MOD_2_ENCARGOS_BENEFICIOS+MOD_3_PROVISAO_RESCISAO)</f>
        <v>1.13646802798401</v>
      </c>
    </row>
    <row r="73" s="5" customFormat="true" ht="16.5" hidden="false" customHeight="true" outlineLevel="0" collapsed="false">
      <c r="B73" s="42" t="s">
        <v>22</v>
      </c>
      <c r="C73" s="22" t="s">
        <v>174</v>
      </c>
      <c r="D73" s="22"/>
      <c r="E73" s="91" t="n">
        <f aca="false">PERC_SUBSTITUTO_ACID_TRAB</f>
        <v>0.0185302229372558</v>
      </c>
      <c r="F73" s="85" t="n">
        <f aca="false">PERC_SUBSTITUTO_ACID_TRAB%*(MOD_1_REMUNERACAO+MOD_2_ENCARGOS_BENEFICIOS+MOD_3_PROVISAO_RESCISAO)</f>
        <v>0.590325399070784</v>
      </c>
    </row>
    <row r="74" s="5" customFormat="true" ht="16.5" hidden="false" customHeight="true" outlineLevel="0" collapsed="false">
      <c r="B74" s="42" t="s">
        <v>25</v>
      </c>
      <c r="C74" s="71" t="s">
        <v>176</v>
      </c>
      <c r="D74" s="71"/>
      <c r="E74" s="87" t="n">
        <f aca="false">PERC_SUBSTITUTO_AFAST_MATERN</f>
        <v>0.143129184</v>
      </c>
      <c r="F74" s="83" t="n">
        <f aca="false">PERC_SUBSTITUTO_AFAST_MATERN%*(MOD_1_REMUNERACAO+MOD_2_ENCARGOS_BENEFICIOS+MOD_3_PROVISAO_RESCISAO)</f>
        <v>4.55972887911669</v>
      </c>
    </row>
    <row r="75" s="5" customFormat="true" ht="16.5" hidden="false" customHeight="false" outlineLevel="0" collapsed="false">
      <c r="B75" s="42" t="s">
        <v>51</v>
      </c>
      <c r="C75" s="122" t="str">
        <f aca="false">OUTRAS_AUSENCIAS_DESCRICAO</f>
        <v>Outras Ausências (Especificar - em %)</v>
      </c>
      <c r="D75" s="122"/>
      <c r="E75" s="123" t="n">
        <f aca="false">PERC_SUBSTITUTO_OUTRAS_AUSENCIAS</f>
        <v>0</v>
      </c>
      <c r="F75" s="85" t="n">
        <f aca="false">PERC_SUBSTITUTO_OUTRAS_AUSENCIAS%*(MOD_1_REMUNERACAO+MOD_2_ENCARGOS_BENEFICIOS+MOD_3_PROVISAO_RESCISAO)</f>
        <v>0</v>
      </c>
    </row>
    <row r="76" s="5" customFormat="true" ht="16.5" hidden="false" customHeight="false" outlineLevel="0" collapsed="false">
      <c r="B76" s="59" t="s">
        <v>155</v>
      </c>
      <c r="C76" s="59"/>
      <c r="D76" s="59"/>
      <c r="E76" s="59"/>
      <c r="F76" s="118" t="n">
        <f aca="false">SUM(F70:F75)</f>
        <v>342.559462294338</v>
      </c>
    </row>
    <row r="77" s="5" customFormat="true" ht="15" hidden="false" customHeight="true" outlineLevel="0" collapsed="false">
      <c r="B77" s="39" t="s">
        <v>76</v>
      </c>
      <c r="C77" s="55"/>
      <c r="D77" s="56"/>
      <c r="E77" s="57"/>
      <c r="F77" s="57"/>
    </row>
    <row r="78" s="5" customFormat="true" ht="16.5" hidden="false" customHeight="false" outlineLevel="0" collapsed="false">
      <c r="B78" s="18" t="s">
        <v>77</v>
      </c>
      <c r="C78" s="59" t="s">
        <v>78</v>
      </c>
      <c r="D78" s="59"/>
      <c r="E78" s="59"/>
      <c r="F78" s="42" t="s">
        <v>84</v>
      </c>
    </row>
    <row r="79" s="5" customFormat="true" ht="16.5" hidden="false" customHeight="true" outlineLevel="0" collapsed="false">
      <c r="B79" s="18" t="s">
        <v>14</v>
      </c>
      <c r="C79" s="71" t="s">
        <v>192</v>
      </c>
      <c r="D79" s="71"/>
      <c r="E79" s="71"/>
      <c r="F79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80" s="5" customFormat="true" ht="16.5" hidden="false" customHeight="false" outlineLevel="0" collapsed="false">
      <c r="B80" s="59" t="s">
        <v>155</v>
      </c>
      <c r="C80" s="59"/>
      <c r="D80" s="59"/>
      <c r="E80" s="59"/>
      <c r="F80" s="118" t="n">
        <f aca="false">SUM(F79)</f>
        <v>0</v>
      </c>
    </row>
    <row r="81" customFormat="false" ht="7.5" hidden="false" customHeight="true" outlineLevel="0" collapsed="false">
      <c r="B81" s="121"/>
      <c r="D81" s="30"/>
      <c r="E81" s="40"/>
      <c r="F81" s="40"/>
    </row>
    <row r="82" customFormat="false" ht="16.5" hidden="false" customHeight="false" outlineLevel="0" collapsed="false">
      <c r="B82" s="39" t="s">
        <v>82</v>
      </c>
      <c r="C82" s="55"/>
      <c r="D82" s="55"/>
      <c r="E82" s="57"/>
      <c r="F82" s="57"/>
    </row>
    <row r="83" customFormat="false" ht="15.75" hidden="false" customHeight="true" outlineLevel="0" collapsed="false">
      <c r="B83" s="60" t="n">
        <v>5</v>
      </c>
      <c r="C83" s="61" t="s">
        <v>83</v>
      </c>
      <c r="D83" s="61"/>
      <c r="E83" s="61"/>
      <c r="F83" s="62" t="s">
        <v>84</v>
      </c>
    </row>
    <row r="84" customFormat="false" ht="16.5" hidden="false" customHeight="true" outlineLevel="0" collapsed="false">
      <c r="B84" s="63" t="s">
        <v>14</v>
      </c>
      <c r="C84" s="64" t="s">
        <v>85</v>
      </c>
      <c r="D84" s="64"/>
      <c r="E84" s="64"/>
      <c r="F84" s="124" t="n">
        <f aca="false">UNIFORMES</f>
        <v>32.8583333333333</v>
      </c>
    </row>
    <row r="85" customFormat="false" ht="16.5" hidden="false" customHeight="true" outlineLevel="0" collapsed="false">
      <c r="B85" s="63" t="s">
        <v>16</v>
      </c>
      <c r="C85" s="66" t="s">
        <v>86</v>
      </c>
      <c r="D85" s="66"/>
      <c r="E85" s="66"/>
      <c r="F85" s="125" t="n">
        <f aca="false">MATERIAIS</f>
        <v>0</v>
      </c>
    </row>
    <row r="86" customFormat="false" ht="16.5" hidden="false" customHeight="true" outlineLevel="0" collapsed="false">
      <c r="B86" s="63" t="s">
        <v>19</v>
      </c>
      <c r="C86" s="64" t="s">
        <v>87</v>
      </c>
      <c r="D86" s="64"/>
      <c r="E86" s="64"/>
      <c r="F86" s="124" t="n">
        <f aca="false">EQUIPAMENTOS</f>
        <v>0</v>
      </c>
    </row>
    <row r="87" customFormat="false" ht="16.5" hidden="false" customHeight="true" outlineLevel="0" collapsed="false">
      <c r="B87" s="63" t="s">
        <v>22</v>
      </c>
      <c r="C87" s="126" t="s">
        <v>88</v>
      </c>
      <c r="D87" s="126"/>
      <c r="E87" s="126"/>
      <c r="F87" s="125" t="n">
        <f aca="false">OUTROS_INSUMOS</f>
        <v>0</v>
      </c>
    </row>
    <row r="88" customFormat="false" ht="16.5" hidden="false" customHeight="true" outlineLevel="0" collapsed="false">
      <c r="B88" s="61" t="s">
        <v>155</v>
      </c>
      <c r="C88" s="61"/>
      <c r="D88" s="61"/>
      <c r="E88" s="61"/>
      <c r="F88" s="127" t="n">
        <f aca="false">SUM(F84:F87)</f>
        <v>32.8583333333333</v>
      </c>
    </row>
    <row r="89" customFormat="false" ht="7.5" hidden="false" customHeight="true" outlineLevel="0" collapsed="false">
      <c r="B89" s="121"/>
      <c r="D89" s="30"/>
      <c r="E89" s="40"/>
      <c r="F89" s="40"/>
    </row>
    <row r="90" customFormat="false" ht="15" hidden="false" customHeight="true" outlineLevel="0" collapsed="false">
      <c r="B90" s="69" t="s">
        <v>89</v>
      </c>
      <c r="C90" s="69"/>
      <c r="D90" s="69"/>
      <c r="E90" s="69"/>
      <c r="F90" s="69"/>
    </row>
    <row r="91" customFormat="false" ht="16.5" hidden="false" customHeight="false" outlineLevel="0" collapsed="false">
      <c r="B91" s="18" t="n">
        <v>6</v>
      </c>
      <c r="C91" s="59" t="s">
        <v>90</v>
      </c>
      <c r="D91" s="59"/>
      <c r="E91" s="42" t="s">
        <v>74</v>
      </c>
      <c r="F91" s="42" t="s">
        <v>84</v>
      </c>
    </row>
    <row r="92" customFormat="false" ht="16.5" hidden="false" customHeight="true" outlineLevel="0" collapsed="false">
      <c r="B92" s="18" t="s">
        <v>14</v>
      </c>
      <c r="C92" s="71" t="s">
        <v>91</v>
      </c>
      <c r="D92" s="71"/>
      <c r="E92" s="128" t="n">
        <f aca="false">PERC_CUSTOS_INDIRETOS</f>
        <v>4.73</v>
      </c>
      <c r="F92" s="83" t="n">
        <f aca="false">PERC_CUSTOS_INDIRETOS%*(MOD_1_REMUNERACAO+MOD_2_ENCARGOS_BENEFICIOS+MOD_3_PROVISAO_RESCISAO+MOD_4_CUSTO_REPOSICAO+MOD_5_INSUMOS)</f>
        <v>168.442935999465</v>
      </c>
    </row>
    <row r="93" customFormat="false" ht="15.75" hidden="false" customHeight="true" outlineLevel="0" collapsed="false">
      <c r="B93" s="42" t="s">
        <v>16</v>
      </c>
      <c r="C93" s="22" t="s">
        <v>92</v>
      </c>
      <c r="D93" s="22"/>
      <c r="E93" s="129" t="n">
        <f aca="false">PERC_LUCRO</f>
        <v>5.57</v>
      </c>
      <c r="F93" s="85" t="n">
        <f aca="false">PERC_LUCRO%*(MOD_1_REMUNERACAO+MOD_2_ENCARGOS_BENEFICIOS+MOD_3_PROVISAO_RESCISAO+MOD_4_CUSTO_REPOSICAO+MOD_5_INSUMOS+AL_6_A_CUSTOS_INDIRETOS)</f>
        <v>207.73896361065</v>
      </c>
    </row>
    <row r="94" customFormat="false" ht="16.5" hidden="false" customHeight="true" outlineLevel="0" collapsed="false">
      <c r="B94" s="42" t="s">
        <v>19</v>
      </c>
      <c r="C94" s="71" t="s">
        <v>193</v>
      </c>
      <c r="D94" s="71"/>
      <c r="E94" s="128" t="n">
        <f aca="false">SUM(E95:E97)</f>
        <v>8.65</v>
      </c>
      <c r="F94" s="83" t="n">
        <f aca="false">SUM(F95:F97)</f>
        <v>372.829993071129</v>
      </c>
    </row>
    <row r="95" customFormat="false" ht="15.75" hidden="false" customHeight="true" outlineLevel="0" collapsed="false">
      <c r="B95" s="73" t="s">
        <v>93</v>
      </c>
      <c r="C95" s="130" t="s">
        <v>94</v>
      </c>
      <c r="D95" s="130"/>
      <c r="E95" s="131" t="n">
        <f aca="false">PERC_PIS</f>
        <v>0.65</v>
      </c>
      <c r="F95" s="132" t="n">
        <f aca="false">((MOD_1_REMUNERACAO+MOD_2_ENCARGOS_BENEFICIOS+MOD_3_PROVISAO_RESCISAO+MOD_4_CUSTO_REPOSICAO+MOD_5_INSUMOS+AL_6_A_CUSTOS_INDIRETOS+AL_6_B_LUCRO)*PERC_PIS%)/(1-PERC_TRIBUTOS%)</f>
        <v>28.0161266469635</v>
      </c>
    </row>
    <row r="96" customFormat="false" ht="16.5" hidden="false" customHeight="true" outlineLevel="0" collapsed="false">
      <c r="B96" s="73" t="s">
        <v>95</v>
      </c>
      <c r="C96" s="133" t="s">
        <v>96</v>
      </c>
      <c r="D96" s="133"/>
      <c r="E96" s="134" t="n">
        <f aca="false">PERC_COFINS</f>
        <v>3</v>
      </c>
      <c r="F96" s="135" t="n">
        <f aca="false">((MOD_1_REMUNERACAO+MOD_2_ENCARGOS_BENEFICIOS+MOD_3_PROVISAO_RESCISAO+MOD_4_CUSTO_REPOSICAO+MOD_5_INSUMOS+AL_6_A_CUSTOS_INDIRETOS+AL_6_B_LUCRO)*PERC_COFINS%)/(1-PERC_TRIBUTOS%)</f>
        <v>129.305199909062</v>
      </c>
    </row>
    <row r="97" s="67" customFormat="true" ht="16.5" hidden="false" customHeight="true" outlineLevel="0" collapsed="false">
      <c r="B97" s="73" t="s">
        <v>97</v>
      </c>
      <c r="C97" s="130" t="s">
        <v>98</v>
      </c>
      <c r="D97" s="130"/>
      <c r="E97" s="131" t="n">
        <f aca="false">PERC_ISS</f>
        <v>5</v>
      </c>
      <c r="F97" s="132" t="n">
        <f aca="false">((MOD_1_REMUNERACAO+MOD_2_ENCARGOS_BENEFICIOS+MOD_3_PROVISAO_RESCISAO+MOD_4_CUSTO_REPOSICAO+MOD_5_INSUMOS+AL_6_A_CUSTOS_INDIRETOS+AL_6_B_LUCRO)*PERC_ISS%)/(1-PERC_TRIBUTOS%)</f>
        <v>215.508666515104</v>
      </c>
    </row>
    <row r="98" s="67" customFormat="true" ht="16.5" hidden="false" customHeight="false" outlineLevel="0" collapsed="false">
      <c r="B98" s="59" t="s">
        <v>155</v>
      </c>
      <c r="C98" s="59"/>
      <c r="D98" s="59"/>
      <c r="E98" s="59"/>
      <c r="F98" s="136" t="n">
        <f aca="false">AL_6_A_CUSTOS_INDIRETOS+AL_6_B_LUCRO+AL_6_C_TRIBUTOS</f>
        <v>749.011892681245</v>
      </c>
    </row>
    <row r="99" s="67" customFormat="true" ht="21" hidden="false" customHeight="false" outlineLevel="0" collapsed="false">
      <c r="B99" s="137" t="s">
        <v>194</v>
      </c>
      <c r="C99" s="138"/>
      <c r="D99" s="138"/>
      <c r="E99" s="138"/>
      <c r="F99" s="139"/>
    </row>
    <row r="100" s="68" customFormat="true" ht="16.5" hidden="false" customHeight="true" outlineLevel="0" collapsed="false">
      <c r="B100" s="42" t="s">
        <v>195</v>
      </c>
      <c r="C100" s="41" t="s">
        <v>196</v>
      </c>
      <c r="D100" s="41"/>
      <c r="E100" s="41"/>
      <c r="F100" s="42" t="s">
        <v>197</v>
      </c>
    </row>
    <row r="101" s="67" customFormat="true" ht="16.5" hidden="false" customHeight="true" outlineLevel="0" collapsed="false">
      <c r="B101" s="18" t="n">
        <v>1</v>
      </c>
      <c r="C101" s="71" t="s">
        <v>44</v>
      </c>
      <c r="D101" s="71"/>
      <c r="E101" s="71"/>
      <c r="F101" s="83" t="n">
        <f aca="false">MOD_1_REMUNERACAO</f>
        <v>1617.02</v>
      </c>
    </row>
    <row r="102" s="70" customFormat="true" ht="16.5" hidden="false" customHeight="true" outlineLevel="0" collapsed="false">
      <c r="B102" s="42" t="n">
        <v>2</v>
      </c>
      <c r="C102" s="22" t="s">
        <v>198</v>
      </c>
      <c r="D102" s="22"/>
      <c r="E102" s="22"/>
      <c r="F102" s="85" t="n">
        <f aca="false">MOD_2_ENCARGOS_BENEFICIOS</f>
        <v>1521.4192</v>
      </c>
    </row>
    <row r="103" s="70" customFormat="true" ht="16.5" hidden="false" customHeight="true" outlineLevel="0" collapsed="false">
      <c r="B103" s="42" t="n">
        <v>3</v>
      </c>
      <c r="C103" s="71" t="s">
        <v>116</v>
      </c>
      <c r="D103" s="71"/>
      <c r="E103" s="71"/>
      <c r="F103" s="83" t="n">
        <f aca="false">MOD_3_PROVISAO_RESCISAO</f>
        <v>47.3044419931563</v>
      </c>
    </row>
    <row r="104" s="70" customFormat="true" ht="16.5" hidden="false" customHeight="true" outlineLevel="0" collapsed="false">
      <c r="B104" s="42" t="n">
        <v>4</v>
      </c>
      <c r="C104" s="22" t="s">
        <v>199</v>
      </c>
      <c r="D104" s="22"/>
      <c r="E104" s="22"/>
      <c r="F104" s="85" t="n">
        <f aca="false">MOD_4_CUSTO_REPOSICAO</f>
        <v>342.559462294338</v>
      </c>
    </row>
    <row r="105" s="70" customFormat="true" ht="16.5" hidden="false" customHeight="true" outlineLevel="0" collapsed="false">
      <c r="B105" s="42" t="n">
        <v>5</v>
      </c>
      <c r="C105" s="71" t="s">
        <v>83</v>
      </c>
      <c r="D105" s="71"/>
      <c r="E105" s="71"/>
      <c r="F105" s="83" t="n">
        <f aca="false">MOD_5_INSUMOS</f>
        <v>32.8583333333333</v>
      </c>
    </row>
    <row r="106" s="70" customFormat="true" ht="16.5" hidden="false" customHeight="true" outlineLevel="0" collapsed="false">
      <c r="B106" s="42" t="n">
        <v>6</v>
      </c>
      <c r="C106" s="22" t="s">
        <v>90</v>
      </c>
      <c r="D106" s="22"/>
      <c r="E106" s="22"/>
      <c r="F106" s="85" t="n">
        <f aca="false">MOD_6_CUSTOS_IND_LUCRO_TRIB</f>
        <v>749.011892681245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SUM(F101:F106)</f>
        <v>4310.17333030207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</f>
        <v>4310.17333030207</v>
      </c>
    </row>
    <row r="109" customFormat="false" ht="16.5" hidden="false" customHeight="true" outlineLevel="0" collapsed="false">
      <c r="B109" s="41" t="s">
        <v>202</v>
      </c>
      <c r="C109" s="41"/>
      <c r="D109" s="41"/>
      <c r="E109" s="41"/>
      <c r="F109" s="136" t="n">
        <f aca="false">VALOR_TOTAL_EMPREGADO*EMPREG_POR_POSTO*QTDE_POSTOS</f>
        <v>8620.34666060414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C103:E103"/>
    <mergeCell ref="C104:E104"/>
    <mergeCell ref="C105:E105"/>
    <mergeCell ref="C106:E106"/>
    <mergeCell ref="B107:E107"/>
    <mergeCell ref="B108:E108"/>
    <mergeCell ref="B109:E109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1" sqref="F70:F71 F11"/>
    </sheetView>
  </sheetViews>
  <sheetFormatPr defaultRowHeight="12.5" zeroHeight="false" outlineLevelRow="0" outlineLevelCol="0"/>
  <cols>
    <col collapsed="false" customWidth="false" hidden="false" outlineLevel="0" max="2" min="1" style="0" width="11.54"/>
    <col collapsed="false" customWidth="true" hidden="false" outlineLevel="0" max="3" min="3" style="0" width="53.99"/>
    <col collapsed="false" customWidth="true" hidden="false" outlineLevel="0" max="6" min="4" style="0" width="13.45"/>
    <col collapsed="false" customWidth="false" hidden="false" outlineLevel="0" max="1025" min="7" style="0" width="11.54"/>
  </cols>
  <sheetData>
    <row r="2" customFormat="false" ht="16.5" hidden="false" customHeight="false" outlineLevel="0" collapsed="false">
      <c r="B2" s="140" t="s">
        <v>203</v>
      </c>
    </row>
    <row r="4" customFormat="false" ht="16.5" hidden="false" customHeight="false" outlineLevel="0" collapsed="false">
      <c r="B4" s="141" t="s">
        <v>204</v>
      </c>
      <c r="C4" s="141" t="s">
        <v>205</v>
      </c>
      <c r="D4" s="141" t="s">
        <v>206</v>
      </c>
      <c r="E4" s="141" t="s">
        <v>207</v>
      </c>
      <c r="F4" s="141" t="s">
        <v>208</v>
      </c>
    </row>
    <row r="5" customFormat="false" ht="16.5" hidden="false" customHeight="false" outlineLevel="0" collapsed="false">
      <c r="B5" s="16" t="n">
        <v>1</v>
      </c>
      <c r="C5" s="142" t="s">
        <v>209</v>
      </c>
      <c r="D5" s="143" t="n">
        <v>8</v>
      </c>
      <c r="E5" s="144" t="n">
        <v>19.67</v>
      </c>
      <c r="F5" s="144" t="n">
        <f aca="false">D5*E5</f>
        <v>157.36</v>
      </c>
    </row>
    <row r="6" customFormat="false" ht="16.5" hidden="false" customHeight="false" outlineLevel="0" collapsed="false">
      <c r="B6" s="16" t="n">
        <v>2</v>
      </c>
      <c r="C6" s="145" t="s">
        <v>210</v>
      </c>
      <c r="D6" s="143" t="n">
        <v>4</v>
      </c>
      <c r="E6" s="144" t="n">
        <v>12.12</v>
      </c>
      <c r="F6" s="144" t="n">
        <f aca="false">D6*E6</f>
        <v>48.48</v>
      </c>
    </row>
    <row r="7" customFormat="false" ht="20.5" hidden="false" customHeight="true" outlineLevel="0" collapsed="false">
      <c r="B7" s="16" t="n">
        <v>3</v>
      </c>
      <c r="C7" s="146" t="s">
        <v>211</v>
      </c>
      <c r="D7" s="104" t="n">
        <v>8</v>
      </c>
      <c r="E7" s="147" t="n">
        <v>20.86</v>
      </c>
      <c r="F7" s="147" t="n">
        <f aca="false">D7*E7</f>
        <v>166.88</v>
      </c>
    </row>
    <row r="8" customFormat="false" ht="33.5" hidden="false" customHeight="true" outlineLevel="0" collapsed="false">
      <c r="B8" s="18" t="n">
        <v>4</v>
      </c>
      <c r="C8" s="145" t="s">
        <v>212</v>
      </c>
      <c r="D8" s="143" t="n">
        <v>4</v>
      </c>
      <c r="E8" s="144" t="n">
        <v>97.97</v>
      </c>
      <c r="F8" s="144" t="n">
        <f aca="false">D8*E8</f>
        <v>391.88</v>
      </c>
    </row>
    <row r="9" customFormat="false" ht="20.5" hidden="false" customHeight="true" outlineLevel="0" collapsed="false">
      <c r="B9" s="18" t="n">
        <v>5</v>
      </c>
      <c r="C9" s="146" t="s">
        <v>213</v>
      </c>
      <c r="D9" s="104" t="n">
        <v>8</v>
      </c>
      <c r="E9" s="147" t="n">
        <v>3</v>
      </c>
      <c r="F9" s="147" t="n">
        <f aca="false">D9*E9</f>
        <v>24</v>
      </c>
    </row>
    <row r="10" customFormat="false" ht="16.4" hidden="false" customHeight="true" outlineLevel="0" collapsed="false">
      <c r="B10" s="41" t="s">
        <v>214</v>
      </c>
      <c r="C10" s="41"/>
      <c r="D10" s="41"/>
      <c r="E10" s="41"/>
      <c r="F10" s="148" t="n">
        <f aca="false">SUM(F5:F9)</f>
        <v>788.6</v>
      </c>
    </row>
    <row r="11" customFormat="false" ht="16.4" hidden="false" customHeight="true" outlineLevel="0" collapsed="false">
      <c r="B11" s="41" t="s">
        <v>215</v>
      </c>
      <c r="C11" s="41"/>
      <c r="D11" s="41"/>
      <c r="E11" s="41"/>
      <c r="F11" s="148" t="n">
        <f aca="false">F10/24</f>
        <v>32.8583333333333</v>
      </c>
    </row>
  </sheetData>
  <mergeCells count="2">
    <mergeCell ref="B10:E10"/>
    <mergeCell ref="B11:E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2025-08-12T18:54:33Z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