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ERÇÃO-DE-DADOS" sheetId="1" state="visible" r:id="rId2"/>
    <sheet name="DADOS-ESTATISTICOS" sheetId="2" state="visible" r:id="rId3"/>
    <sheet name="ENCARGOS-SOCIAIS-E-TRABALHISTAS" sheetId="3" state="visible" r:id="rId4"/>
    <sheet name="POSTO 44 HORAS" sheetId="4" state="visible" r:id="rId5"/>
    <sheet name="UNIFORME" sheetId="5" state="visible" r:id="rId6"/>
  </sheets>
  <definedNames>
    <definedName function="false" hidden="false" name="ACORDO_COLETIVO" vbProcedure="false">'INSERÇÃO-DE-DADOS'!$F$14</definedName>
    <definedName function="false" hidden="false" name="ALIMENTACAO_POR_DIA" vbProcedure="false">'INSERÇÃO-DE-DADOS'!$F$42</definedName>
    <definedName function="false" hidden="false" name="CATEGORIA_PROFISSIONAL" vbProcedure="false">'INSERÇÃO-DE-DADOS'!$D$23</definedName>
    <definedName function="false" hidden="false" name="CBO" vbProcedure="false">'INSERÇÃO-DE-DADOS'!$D$22</definedName>
    <definedName function="false" hidden="false" name="DATA_APRESENTACAO_PROPOSTA" vbProcedure="false">'INSERÇÃO-DE-DADOS'!$F$11</definedName>
    <definedName function="false" hidden="false" name="DATA_BASE_CATEGORIA" vbProcedure="false">'INSERÇÃO-DE-DADOS'!$F$24</definedName>
    <definedName function="false" hidden="false" name="DATA_DO_ORCAMENTO_ESTIMATIVO" vbProcedure="false">'INSERÇÃO-DE-DADOS'!$F$2</definedName>
    <definedName function="false" hidden="false" name="DATA_LICITACAO" vbProcedure="false">'INSERÇÃO-DE-DADOS'!$D$8</definedName>
    <definedName function="false" hidden="false" name="DIAS_AUSENCIAS_LEGAIS" vbProcedure="false">'DADOS-ESTATISTICOS'!$F$27</definedName>
    <definedName function="false" hidden="false" name="DIAS_LICENCA_MATERNIDADE" vbProcedure="false">'DADOS-ESTATISTICOS'!$F$33</definedName>
    <definedName function="false" hidden="false" name="DIAS_LICENCA_PATERNIDADE" vbProcedure="false">'DADOS-ESTATISTICOS'!$F$28</definedName>
    <definedName function="false" hidden="false" name="DIAS_NA_SEMANA" vbProcedure="false">'DADOS-ESTATISTICOS'!$F$5</definedName>
    <definedName function="false" hidden="false" name="DIAS_NO_ANO" vbProcedure="false">'DADOS-ESTATISTICOS'!$F$6</definedName>
    <definedName function="false" hidden="false" name="DIAS_NO_MES" vbProcedure="false">'DADOS-ESTATISTICOS'!$F$22</definedName>
    <definedName function="false" hidden="false" name="DIAS_PAGOS_EMPRESA_ACID_TRAB" vbProcedure="false">'DADOS-ESTATISTICOS'!$F$32</definedName>
    <definedName function="false" hidden="false" name="DIAS_TRABALHADOS_NO_MES" vbProcedure="false">'INSERÇÃO-DE-DADOS'!$F$43</definedName>
    <definedName function="false" hidden="false" name="DIVISOR_DE_HORAS" vbProcedure="false">'DADOS-ESTATISTICOS'!$F$4</definedName>
    <definedName function="false" hidden="false" name="EMPREG_POR_POSTO" vbProcedure="false">'INSERÇÃO-DE-DADOS'!$E$19</definedName>
    <definedName function="false" hidden="false" name="EQUIPAMENTOS" vbProcedure="false">'INSERÇÃO-DE-DADOS'!$F$63</definedName>
    <definedName function="false" hidden="false" name="HORARIO_LICITACAO" vbProcedure="false">'INSERÇÃO-DE-DADOS'!$F$8</definedName>
    <definedName function="false" hidden="false" name="HORA_NORMAL" vbProcedure="false">'DADOS-ESTATISTICOS'!$F$9</definedName>
    <definedName function="false" hidden="false" name="HORA_NOTURNA" vbProcedure="false">'DADOS-ESTATISTICOS'!$F$10</definedName>
    <definedName function="false" hidden="false" name="LOCAL_DE_EXECUCAO" vbProcedure="false">'INSERÇÃO-DE-DADOS'!$D$12</definedName>
    <definedName function="false" hidden="false" name="MATERIAIS" vbProcedure="false">'INSERÇÃO-DE-DADOS'!$F$62</definedName>
    <definedName function="false" hidden="false" name="MEDIA_ANUAL_DIAS_TRABALHO_MES" vbProcedure="false">'DADOS-ESTATISTICOS'!$F$7</definedName>
    <definedName function="false" hidden="false" name="MESES_NO_ANO" vbProcedure="false">'DADOS-ESTATISTICOS'!$F$8</definedName>
    <definedName function="false" hidden="false" name="MODALIDADE_DE_LICITACAO" vbProcedure="false">'INSERÇÃO-DE-DADOS'!$D$7</definedName>
    <definedName function="false" hidden="false" name="NUMERO_MESES_EXEC_CONTRATUAL" vbProcedure="false">'INSERÇÃO-DE-DADOS'!$F$15</definedName>
    <definedName function="false" hidden="false" name="NUMERO_PREGAO" vbProcedure="false">'INSERÇÃO-DE-DADOS'!$F$7</definedName>
    <definedName function="false" hidden="false" name="NUMERO_PROCESSO" vbProcedure="false">'INSERÇÃO-DE-DADOS'!$D$6</definedName>
    <definedName function="false" hidden="false" name="OUTRAS_AUSENCIAS" vbProcedure="false">'ENCARGOS-SOCIAIS-E-TRABALHISTAS'!$E$34</definedName>
    <definedName function="false" hidden="false" name="OUTRAS_AUSENCIAS_DESCRICAO" vbProcedure="false">'INSERÇÃO-DE-DADOS'!$C$52</definedName>
    <definedName function="false" hidden="false" name="OUTROS_BENEFICIOS_1" vbProcedure="false">'INSERÇÃO-DE-DADOS'!$F$44</definedName>
    <definedName function="false" hidden="false" name="OUTROS_BENEFICIOS_1_DESCRICAO" vbProcedure="false">'INSERÇÃO-DE-DADOS'!$C$44</definedName>
    <definedName function="false" hidden="false" name="OUTROS_BENEFICIOS_2" vbProcedure="false">'INSERÇÃO-DE-DADOS'!$F$45</definedName>
    <definedName function="false" hidden="false" name="OUTROS_BENEFICIOS_2_DESCRICAO" vbProcedure="false">'INSERÇÃO-DE-DADOS'!$C$45</definedName>
    <definedName function="false" hidden="false" name="OUTROS_BENEFICIOS_3" vbProcedure="false">'INSERÇÃO-DE-DADOS'!$F$46</definedName>
    <definedName function="false" hidden="false" name="OUTROS_BENEFICIOS_3_DESCRICAO" vbProcedure="false">'INSERÇÃO-DE-DADOS'!$C$46</definedName>
    <definedName function="false" hidden="false" name="OUTROS_INSUMOS" vbProcedure="false">'INSERÇÃO-DE-DADOS'!$F$64</definedName>
    <definedName function="false" hidden="false" name="OUTROS_INSUMOS_DESCRICAO" vbProcedure="false">'INSERÇÃO-DE-DADOS'!$C$64</definedName>
    <definedName function="false" hidden="false" name="OUTROS_REMUNERACAO_1" vbProcedure="false">'INSERÇÃO-DE-DADOS'!$F$34</definedName>
    <definedName function="false" hidden="false" name="OUTROS_REMUNERACAO_1_DESCRICAO" vbProcedure="false">'INSERÇÃO-DE-DADOS'!$C$34</definedName>
    <definedName function="false" hidden="false" name="OUTROS_REMUNERACAO_2" vbProcedure="false">'INSERÇÃO-DE-DADOS'!$F$35</definedName>
    <definedName function="false" hidden="false" name="OUTROS_REMUNERACAO_2_DESCRICAO" vbProcedure="false">'INSERÇÃO-DE-DADOS'!$C$35:$E$35</definedName>
    <definedName function="false" hidden="false" name="OUTROS_REMUNERACAO_3" vbProcedure="false">'INSERÇÃO-DE-DADOS'!$F$36</definedName>
    <definedName function="false" hidden="false" name="OUTROS_REMUNERACAO_3_DESCRICAO" vbProcedure="false">'INSERÇÃO-DE-DADOS'!$C$36:$E$36</definedName>
    <definedName function="false" hidden="false" name="PERC_ADIC_FERIAS" vbProcedure="false">'ENCARGOS-SOCIAIS-E-TRABALHISTAS'!$E$6</definedName>
    <definedName function="false" hidden="false" name="PERC_ADIC_INS" vbProcedure="false">'INSERÇÃO-DE-DADOS'!$F$33</definedName>
    <definedName function="false" hidden="false" name="PERC_ADIC_NOT" vbProcedure="false">'INSERÇÃO-DE-DADOS'!$F$32</definedName>
    <definedName function="false" hidden="false" name="PERC_ADIC_PERIC" vbProcedure="false">'INSERÇÃO-DE-DADOS'!$F$31</definedName>
    <definedName function="false" hidden="false" name="PERC_AVISO_PREVIO_IND" vbProcedure="false">'ENCARGOS-SOCIAIS-E-TRABALHISTAS'!$E$20</definedName>
    <definedName function="false" hidden="false" name="PERC_AVISO_PREVIO_TRAB" vbProcedure="false">'ENCARGOS-SOCIAIS-E-TRABALHISTAS'!$E$23</definedName>
    <definedName function="false" hidden="false" name="PERC_COFINS" vbProcedure="false">'INSERÇÃO-DE-DADOS'!$F$71</definedName>
    <definedName function="false" hidden="false" name="PERC_CONTRIB_SOCIAL" vbProcedure="false">'dados-estatisticos'!#ref!</definedName>
    <definedName function="false" hidden="false" name="PERC_CUSTOS_INDIRETOS" vbProcedure="false">'INSERÇÃO-DE-DADOS'!$F$68</definedName>
    <definedName function="false" hidden="false" name="PERC_DEC_TERC" vbProcedure="false">'ENCARGOS-SOCIAIS-E-TRABALHISTAS'!$E$5</definedName>
    <definedName function="false" hidden="false" name="PERC_DESC_TRANSP_REMUNERACAO" vbProcedure="false">'DADOS-ESTATISTICOS'!$F$14</definedName>
    <definedName function="false" hidden="false" name="PERC_EMPREG_AFAST_TRAB" vbProcedure="false">'DADOS-ESTATISTICOS'!$F$31</definedName>
    <definedName function="false" hidden="false" name="PERC_EMPREG_AVISO_PREVIO_IND" vbProcedure="false">'DADOS-ESTATISTICOS'!$F$19</definedName>
    <definedName function="false" hidden="false" name="PERC_EMPREG_AVISO_PREVIO_TRAB" vbProcedure="false">'DADOS-ESTATISTICOS'!$F$21</definedName>
    <definedName function="false" hidden="false" name="PERC_EMPREG_DEMIT_SEM_JUSTA_CAUSA_TOTAL_DESLIG" vbProcedure="false">'DADOS-ESTATISTICOS'!$F$18</definedName>
    <definedName function="false" hidden="false" name="PERC_FGTS" vbProcedure="false">'ENCARGOS-SOCIAIS-E-TRABALHISTAS'!$E$16</definedName>
    <definedName function="false" hidden="false" name="PERC_FGTS_AVISO_PREV_IND" vbProcedure="false">'ENCARGOS-SOCIAIS-E-TRABALHISTAS'!$E$21</definedName>
    <definedName function="false" hidden="false" name="PERC_GPS_FGTS" vbProcedure="false">'ENCARGOS-SOCIAIS-E-TRABALHISTAS'!$E$17</definedName>
    <definedName function="false" hidden="false" name="PERC_GPS_FGTS_AVISO_PREVIO_TRAB" vbProcedure="false">'ENCARGOS-SOCIAIS-E-TRABALHISTAS'!$E$24</definedName>
    <definedName function="false" hidden="false" name="PERC_HORA_EXTRA" vbProcedure="false">'INSERÇÃO-DE-DADOS'!$F$56</definedName>
    <definedName function="false" hidden="false" name="PERC_INCRA" vbProcedure="false">'ENCARGOS-SOCIAIS-E-TRABALHISTAS'!$E$15</definedName>
    <definedName function="false" hidden="false" name="PERC_INSS" vbProcedure="false">'ENCARGOS-SOCIAIS-E-TRABALHISTAS'!$E$9</definedName>
    <definedName function="false" hidden="false" name="PERC_ISS" vbProcedure="false">'INSERÇÃO-DE-DADOS'!$F$72</definedName>
    <definedName function="false" hidden="false" name="PERC_LUCRO" vbProcedure="false">'INSERÇÃO-DE-DADOS'!$F$69</definedName>
    <definedName function="false" hidden="false" name="PERC_MULTA_FGTS" vbProcedure="false">'DADOS-ESTATISTICOS'!$F$20</definedName>
    <definedName function="false" hidden="false" name="PERC_MULTA_FGTS_AV_PREV_IND" vbProcedure="false">'ENCARGOS-SOCIAIS-E-TRABALHISTAS'!$E$22</definedName>
    <definedName function="false" hidden="false" name="PERC_MULTA_FGTS_AV_PREV_TRAB" vbProcedure="false">'ENCARGOS-SOCIAIS-E-TRABALHISTAS'!$E$25</definedName>
    <definedName function="false" hidden="false" name="PERC_NASCIDOS_VIVOS_POPUL_FEM" vbProcedure="false">'DADOS-ESTATISTICOS'!$F$29</definedName>
    <definedName function="false" hidden="false" name="PERC_PARTIC_FEM_VIGIL" vbProcedure="false">'DADOS-ESTATISTICOS'!$F$34</definedName>
    <definedName function="false" hidden="false" name="PERC_PARTIC_MASC_VIGIL" vbProcedure="false">'DADOS-ESTATISTICOS'!$F$30</definedName>
    <definedName function="false" hidden="false" name="PERC_PIS" vbProcedure="false">'INSERÇÃO-DE-DADOS'!$F$70</definedName>
    <definedName function="false" hidden="false" name="PERC_RAT" vbProcedure="false">'ENCARGOS-SOCIAIS-E-TRABALHISTAS'!$E$11</definedName>
    <definedName function="false" hidden="false" name="PERC_SAL_EDUCACAO" vbProcedure="false">'ENCARGOS-SOCIAIS-E-TRABALHISTAS'!$E$10</definedName>
    <definedName function="false" hidden="false" name="PERC_SEBRAE" vbProcedure="false">'ENCARGOS-SOCIAIS-E-TRABALHISTAS'!$E$14</definedName>
    <definedName function="false" hidden="false" name="PERC_SENAC" vbProcedure="false">'ENCARGOS-SOCIAIS-E-TRABALHISTAS'!$E$13</definedName>
    <definedName function="false" hidden="false" name="PERC_SESC" vbProcedure="false">'ENCARGOS-SOCIAIS-E-TRABALHISTAS'!$E$12</definedName>
    <definedName function="false" hidden="false" name="PERC_SUBSTITUTO_ACID_TRAB" vbProcedure="false">'ENCARGOS-SOCIAIS-E-TRABALHISTAS'!$E$32</definedName>
    <definedName function="false" hidden="false" name="PERC_SUBSTITUTO_AFAST_MATERN" vbProcedure="false">'ENCARGOS-SOCIAIS-E-TRABALHISTAS'!$E$33</definedName>
    <definedName function="false" hidden="false" name="PERC_SUBSTITUTO_AUSENCIAS_LEGAIS" vbProcedure="false">'ENCARGOS-SOCIAIS-E-TRABALHISTAS'!$E$30</definedName>
    <definedName function="false" hidden="false" name="PERC_SUBSTITUTO_FERIAS" vbProcedure="false">'ENCARGOS-SOCIAIS-E-TRABALHISTAS'!$E$29</definedName>
    <definedName function="false" hidden="false" name="PERC_SUBSTITUTO_LICENCA_PATERNIDADE" vbProcedure="false">'ENCARGOS-SOCIAIS-E-TRABALHISTAS'!$E$31</definedName>
    <definedName function="false" hidden="false" name="PERC_SUBSTITUTO_OUTRAS_AUSENCIAS" vbProcedure="false">'INSERÇÃO-DE-DADOS'!$F$52</definedName>
    <definedName function="false" hidden="false" name="RAMO" vbProcedure="false">'INSERÇÃO-DE-DADOS'!$B$1</definedName>
    <definedName function="false" hidden="false" name="SALARIO_BASE" vbProcedure="false">'INSERÇÃO-DE-DADOS'!$F$30</definedName>
    <definedName function="false" hidden="false" name="SAL_MINIMO" vbProcedure="false">'INSERÇÃO-DE-DADOS'!$F$25</definedName>
    <definedName function="false" hidden="false" name="TEMPO_INTERVALO_REFEICAO" vbProcedure="false">'INSERÇÃO-DE-DADOS'!$F$57</definedName>
    <definedName function="false" hidden="false" name="TIPO_DE_SERVICO" vbProcedure="false">'INSERÇÃO-DE-DADOS'!$C$19</definedName>
    <definedName function="false" hidden="false" name="TRANSPORTE_POR_DIA" vbProcedure="false">'INSERÇÃO-DE-DADOS'!$F$41</definedName>
    <definedName function="false" hidden="false" name="UG" vbProcedure="false">'INSERÇÃO-DE-DADOS'!$B$2</definedName>
    <definedName function="false" hidden="false" name="UNIFORMES" vbProcedure="false">'INSERÇÃO-DE-DADOS'!$F$61</definedName>
    <definedName function="false" hidden="false" localSheetId="3" name="AL_1_A_SAL_BASE" vbProcedure="false">'POSTO 44 HORAS'!$F$22</definedName>
    <definedName function="false" hidden="false" localSheetId="3" name="AL_1_B_ADIC_PERIC" vbProcedure="false">'POSTO 44 HORAS'!$F$23</definedName>
    <definedName function="false" hidden="false" localSheetId="3" name="AL_1_C_ADIC_NOT" vbProcedure="false">'POSTO 44 HORAS'!$F$24</definedName>
    <definedName function="false" hidden="false" localSheetId="3" name="AL_1_D_ADIC_NOT_RED" vbProcedure="false">'POSTO 44 HORAS'!$F$25</definedName>
    <definedName function="false" hidden="false" localSheetId="3" name="AL_2_1_A_DEC_TERC" vbProcedure="false">'POSTO 44 HORAS'!$F$34</definedName>
    <definedName function="false" hidden="false" localSheetId="3" name="AL_2_1_B_ADIC_FERIAS" vbProcedure="false">'POSTO 44 HORAS'!$F$35</definedName>
    <definedName function="false" hidden="false" localSheetId="3" name="AL_2_2_FGTS" vbProcedure="false">'POSTO 44 HORAS'!$F$46</definedName>
    <definedName function="false" hidden="false" localSheetId="3" name="AL_2_3_A_TRANSP" vbProcedure="false">'POSTO 44 HORAS'!$F$50</definedName>
    <definedName function="false" hidden="false" localSheetId="3" name="AL_2_3_B_AUX_ALIMENT" vbProcedure="false">'POSTO 44 HORAS'!$F$51</definedName>
    <definedName function="false" hidden="false" localSheetId="3" name="AL_2_3_C_OUTROS_BENEF" vbProcedure="false">'POSTO 44 HORAS'!$F$52</definedName>
    <definedName function="false" hidden="false" localSheetId="3" name="AL_2_A_ATE_2_G_GPS" vbProcedure="false">'POSTO 44 HORAS'!$F$39:$F$45</definedName>
    <definedName function="false" hidden="false" localSheetId="3" name="AL_6_A_CUSTOS_INDIRETOS" vbProcedure="false">'POSTO 44 HORAS'!$F$92</definedName>
    <definedName function="false" hidden="false" localSheetId="3" name="AL_6_B_LUCRO" vbProcedure="false">'POSTO 44 HORAS'!$F$93</definedName>
    <definedName function="false" hidden="false" localSheetId="3" name="AL_6_C_1_PIS" vbProcedure="false">'POSTO 44 HORAS'!$F$95</definedName>
    <definedName function="false" hidden="false" localSheetId="3" name="AL_6_C_2_COFINS" vbProcedure="false">'POSTO 44 HORAS'!$F$96</definedName>
    <definedName function="false" hidden="false" localSheetId="3" name="AL_6_C_3_ISS" vbProcedure="false">'POSTO 44 HORAS'!$F$97</definedName>
    <definedName function="false" hidden="false" localSheetId="3" name="AL_6_C_TRIBUTOS" vbProcedure="false">'POSTO 44 HORAS'!$F$94</definedName>
    <definedName function="false" hidden="false" localSheetId="3" name="MOD_1_REMUNERACAO" vbProcedure="false">'POSTO 44 HORAS'!$F$30</definedName>
    <definedName function="false" hidden="false" localSheetId="3" name="MOD_2_ENCARGOS_BENEFICIOS" vbProcedure="false">'POSTO 44 HORAS'!$F$36+'POSTO 44 HORAS'!$F$47+'POSTO 44 HORAS'!$F$56</definedName>
    <definedName function="false" hidden="false" localSheetId="3" name="MOD_3_PROVISAO_RESCISAO" vbProcedure="false">'POSTO 44 HORAS'!$F$65</definedName>
    <definedName function="false" hidden="false" localSheetId="3" name="MOD_4_CUSTO_REPOSICAO" vbProcedure="false">'POSTO 44 HORAS'!$F$76+'POSTO 44 HORAS'!$F$80</definedName>
    <definedName function="false" hidden="false" localSheetId="3" name="MOD_5_INSUMOS" vbProcedure="false">'POSTO 44 HORAS'!$F$88</definedName>
    <definedName function="false" hidden="false" localSheetId="3" name="MOD_6_CUSTOS_IND_LUCRO_TRIB" vbProcedure="false">'POSTO 44 HORAS'!$F$98</definedName>
    <definedName function="false" hidden="false" localSheetId="3" name="PERC_MOD_3_PROVISAO_RESCISAO" vbProcedure="false">'POSTO 44 HORAS'!$E$65</definedName>
    <definedName function="false" hidden="false" localSheetId="3" name="PERC_TRIBUTOS" vbProcedure="false">'POSTO 44 HORAS'!$E$94</definedName>
    <definedName function="false" hidden="false" localSheetId="3" name="QTDE_POSTOS" vbProcedure="false">'INSERÇÃO-DE-DADOS'!$F$19</definedName>
    <definedName function="false" hidden="false" localSheetId="3" name="SUBMOD_2_1_DEC_TERC_ADIC_FERIAS" vbProcedure="false">'POSTO 44 HORAS'!$F$36</definedName>
    <definedName function="false" hidden="false" localSheetId="3" name="SUBMOD_2_2_GPS_FGTS" vbProcedure="false">'POSTO 44 HORAS'!$F$47</definedName>
    <definedName function="false" hidden="false" localSheetId="3" name="SUBMOD_2_3_BENEFICIOS" vbProcedure="false">'POSTO 44 HORAS'!$F$56</definedName>
    <definedName function="false" hidden="false" localSheetId="3" name="SUBMOD_4_1_SUBSTITUTO" vbProcedure="false">'POSTO 44 HORAS'!$F$76</definedName>
    <definedName function="false" hidden="false" localSheetId="3" name="SUBMOD_4_2_INTRAJORNADA" vbProcedure="false">'POSTO 44 HORAS'!$F$80</definedName>
    <definedName function="false" hidden="false" localSheetId="3" name="VALOR_TOTAL_EMPREGADO" vbProcedure="false">'POSTO 44 HORAS'!$F$107</definedName>
    <definedName function="false" hidden="false" localSheetId="3" name="VALOR_TOTAL_POSTO" vbProcedure="false">'POSTO 44 HORAS'!$F$108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<sst xmlns="http://schemas.openxmlformats.org/spreadsheetml/2006/main" count="463" uniqueCount="215">
  <si>
    <t xml:space="preserve">RAMO: MINISTÉRIO PÚBLICO FEDERAL</t>
  </si>
  <si>
    <t xml:space="preserve">UNIDADE GESTORA (SIGLA): PR/AP</t>
  </si>
  <si>
    <t xml:space="preserve">DATA:</t>
  </si>
  <si>
    <t xml:space="preserve">XX/XX/2025</t>
  </si>
  <si>
    <t xml:space="preserve">CUSTOS REFERENTES AOS SERVIÇOS CONTRATADOS</t>
  </si>
  <si>
    <t xml:space="preserve">Dados referentes à licitação</t>
  </si>
  <si>
    <t xml:space="preserve">Nº do Processo</t>
  </si>
  <si>
    <t xml:space="preserve">1.22.000.000988/2024-16</t>
  </si>
  <si>
    <t xml:space="preserve">Modalidade de Licitação nº (XX/AAAA)</t>
  </si>
  <si>
    <t xml:space="preserve">Pregão nº</t>
  </si>
  <si>
    <t xml:space="preserve">XX/2025</t>
  </si>
  <si>
    <t xml:space="preserve">Data / Horário</t>
  </si>
  <si>
    <t xml:space="preserve">HH:MM</t>
  </si>
  <si>
    <t xml:space="preserve">Dados referentes à contratação</t>
  </si>
  <si>
    <t xml:space="preserve">A</t>
  </si>
  <si>
    <t xml:space="preserve">Data de Apresentação da Proposta (DD/MM/AAAA)</t>
  </si>
  <si>
    <t xml:space="preserve">B</t>
  </si>
  <si>
    <t xml:space="preserve">Local de Execução (Sede, Anexo I ou II, PTM, PRM)</t>
  </si>
  <si>
    <t xml:space="preserve">PRAP</t>
  </si>
  <si>
    <t xml:space="preserve">C</t>
  </si>
  <si>
    <t xml:space="preserve">Unidade da Federação</t>
  </si>
  <si>
    <t xml:space="preserve">AP</t>
  </si>
  <si>
    <t xml:space="preserve">D</t>
  </si>
  <si>
    <t xml:space="preserve">Acordo, Conv. ou Sentença Normativa em Dissídio Coletivo (01/2025)</t>
  </si>
  <si>
    <t xml:space="preserve">AP000003/2025</t>
  </si>
  <si>
    <t xml:space="preserve">E</t>
  </si>
  <si>
    <t xml:space="preserve">Número de Meses de Execução Contratual</t>
  </si>
  <si>
    <t xml:space="preserve">Identificação do serviço</t>
  </si>
  <si>
    <t xml:space="preserve">Item</t>
  </si>
  <si>
    <t xml:space="preserve">Tipo de Serviço</t>
  </si>
  <si>
    <t xml:space="preserve">Unidade de Medida</t>
  </si>
  <si>
    <t xml:space="preserve">Empregados por Posto</t>
  </si>
  <si>
    <t xml:space="preserve">Qtde Total a Contratar</t>
  </si>
  <si>
    <t xml:space="preserve">Manutenção Predial</t>
  </si>
  <si>
    <t xml:space="preserve">Unid.</t>
  </si>
  <si>
    <t xml:space="preserve">Mão de obra</t>
  </si>
  <si>
    <t xml:space="preserve">Classificação Brasileira de Ocupações (CBO)</t>
  </si>
  <si>
    <t xml:space="preserve">9143-05</t>
  </si>
  <si>
    <t xml:space="preserve">Categoria Profissional (vinculada à execução contratual)</t>
  </si>
  <si>
    <t xml:space="preserve">Artífice</t>
  </si>
  <si>
    <t xml:space="preserve">Data-Base da Categoria (DD/MM/AAAA)</t>
  </si>
  <si>
    <t xml:space="preserve">Salário Mínimo vigente no país (em R$)</t>
  </si>
  <si>
    <t xml:space="preserve">CUSTOS POR EMPREGADO</t>
  </si>
  <si>
    <t xml:space="preserve">MÓDULO 1: COMPOSIÇÃO DA REMUNERAÇÃO</t>
  </si>
  <si>
    <t xml:space="preserve">Composição da Remuneração</t>
  </si>
  <si>
    <t xml:space="preserve">Valor / %</t>
  </si>
  <si>
    <t xml:space="preserve">Salário-Base (em R$)</t>
  </si>
  <si>
    <t xml:space="preserve">Adicional de Periculosidade (em %)</t>
  </si>
  <si>
    <t xml:space="preserve">Adicional Noturno (em %)</t>
  </si>
  <si>
    <t xml:space="preserve">Adicional de Insalubridade (em %)</t>
  </si>
  <si>
    <t xml:space="preserve">Outras Remunerações 1 (Especificar)</t>
  </si>
  <si>
    <t xml:space="preserve">F</t>
  </si>
  <si>
    <t xml:space="preserve">Outras Remunerações 2 (Especificar)</t>
  </si>
  <si>
    <t xml:space="preserve">G</t>
  </si>
  <si>
    <t xml:space="preserve">Outras Remunerações 3 (Especificar)</t>
  </si>
  <si>
    <t xml:space="preserve">MÓDULO 2: ENCARGOS E BENEFÍCIOS ANUAIS, MENSAIS E DIÁRIOS</t>
  </si>
  <si>
    <t xml:space="preserve">Submódulo 2.3 - Benefícios Mensais e Diários</t>
  </si>
  <si>
    <t xml:space="preserve">2.3</t>
  </si>
  <si>
    <t xml:space="preserve">Benefícios Mensais e Diários</t>
  </si>
  <si>
    <t xml:space="preserve">Frequência</t>
  </si>
  <si>
    <t xml:space="preserve">Valor (em R$)</t>
  </si>
  <si>
    <t xml:space="preserve">Transporte</t>
  </si>
  <si>
    <t xml:space="preserve">Diária</t>
  </si>
  <si>
    <t xml:space="preserve">Auxílio-Refeição/Alimentação</t>
  </si>
  <si>
    <t xml:space="preserve">Dias Trabalhados no mês (15 dias intercalados ou 22 dias úteis)</t>
  </si>
  <si>
    <t xml:space="preserve">Mensal</t>
  </si>
  <si>
    <t xml:space="preserve">Benefício Social (CCT, Cláusula 15ª)</t>
  </si>
  <si>
    <t xml:space="preserve">Outros Benefícios 2</t>
  </si>
  <si>
    <t xml:space="preserve">Outros Benefícios 3</t>
  </si>
  <si>
    <t xml:space="preserve">Outros Benefícios 4</t>
  </si>
  <si>
    <t xml:space="preserve">MÓDULO 4: CUSTO DE REPOSIÇÃO DO PROFISSIONAL AUSENTE</t>
  </si>
  <si>
    <t xml:space="preserve">Submódulo 4.1 - Substituto nas Ausências Legais</t>
  </si>
  <si>
    <t xml:space="preserve">4.1</t>
  </si>
  <si>
    <t xml:space="preserve">Substituto nas Ausências Legais</t>
  </si>
  <si>
    <t xml:space="preserve">%</t>
  </si>
  <si>
    <t xml:space="preserve">Outras Ausências (Especificar - em %)</t>
  </si>
  <si>
    <t xml:space="preserve">Submódulo 4.2 - Substituto na Intrajornada</t>
  </si>
  <si>
    <t xml:space="preserve">4.2</t>
  </si>
  <si>
    <t xml:space="preserve">Substituto na Intrajornada</t>
  </si>
  <si>
    <t xml:space="preserve">% / Minutos</t>
  </si>
  <si>
    <t xml:space="preserve">Hora Extra (em %)</t>
  </si>
  <si>
    <t xml:space="preserve">Tempo de Intervalo para Refeição (em minutos)</t>
  </si>
  <si>
    <t xml:space="preserve">MÓDULO 5: INSUMOS DIVERSOS</t>
  </si>
  <si>
    <t xml:space="preserve">Insumos Diversos</t>
  </si>
  <si>
    <t xml:space="preserve">Valor (R$)</t>
  </si>
  <si>
    <t xml:space="preserve">Uniformes</t>
  </si>
  <si>
    <t xml:space="preserve">Materiais</t>
  </si>
  <si>
    <t xml:space="preserve">Equipamentos/Ferramentas</t>
  </si>
  <si>
    <t xml:space="preserve">EPI</t>
  </si>
  <si>
    <t xml:space="preserve">MÓDULO 6: CUSTOS INDIRETOS, TRIBUTOS E LUCRO</t>
  </si>
  <si>
    <t xml:space="preserve">Custos Indiretos, Tributos e Lucro</t>
  </si>
  <si>
    <t xml:space="preserve">Custos Indiretos</t>
  </si>
  <si>
    <t xml:space="preserve">Lucro</t>
  </si>
  <si>
    <t xml:space="preserve">C.1</t>
  </si>
  <si>
    <t xml:space="preserve">PIS</t>
  </si>
  <si>
    <t xml:space="preserve">C.2</t>
  </si>
  <si>
    <t xml:space="preserve">Cofins</t>
  </si>
  <si>
    <t xml:space="preserve">C.3</t>
  </si>
  <si>
    <t xml:space="preserve">ISS</t>
  </si>
  <si>
    <t xml:space="preserve">OBSERVAÇÃO</t>
  </si>
  <si>
    <t xml:space="preserve">Para mais informações, consulte o Referencial Técnico de Custos, constante da aba PUBLICAÇÕES, na página da Auditoria Interna do MPU na internet (www.auditoria.mpu.mp.br).</t>
  </si>
  <si>
    <t xml:space="preserve">DADOS ESTATÍSTICOS</t>
  </si>
  <si>
    <t xml:space="preserve">Dias / Horas / Minutos</t>
  </si>
  <si>
    <t xml:space="preserve">Divisor de Horas (em horas)</t>
  </si>
  <si>
    <t xml:space="preserve">Dias na Semana</t>
  </si>
  <si>
    <t xml:space="preserve">Dias no Ano</t>
  </si>
  <si>
    <t xml:space="preserve">I</t>
  </si>
  <si>
    <t xml:space="preserve">Média Anual de Dias Trabalhados no Mês</t>
  </si>
  <si>
    <t xml:space="preserve">J</t>
  </si>
  <si>
    <t xml:space="preserve">Meses no Ano </t>
  </si>
  <si>
    <t xml:space="preserve">K</t>
  </si>
  <si>
    <t xml:space="preserve">Hora Normal (em minutos)</t>
  </si>
  <si>
    <t xml:space="preserve">L</t>
  </si>
  <si>
    <t xml:space="preserve">Hora Noturna (em minutos)</t>
  </si>
  <si>
    <t xml:space="preserve">Desconto Remuneração Transporte</t>
  </si>
  <si>
    <t xml:space="preserve">MÓDULO 3: PROVISÃO PARA RESCISÃO</t>
  </si>
  <si>
    <t xml:space="preserve">Provisão para Rescisão</t>
  </si>
  <si>
    <t xml:space="preserve">Dias / %</t>
  </si>
  <si>
    <t xml:space="preserve">Pessoas demitidas sem justa causa / Total de desligamentos (em %)</t>
  </si>
  <si>
    <t xml:space="preserve">Empregados que recebem aviso prévio indenizado (em %)</t>
  </si>
  <si>
    <t xml:space="preserve">Multa do FGTS (em %)</t>
  </si>
  <si>
    <t xml:space="preserve">Empregados que recebem aviso prévio trabalhado (em %)</t>
  </si>
  <si>
    <t xml:space="preserve">Dias no mês</t>
  </si>
  <si>
    <t xml:space="preserve">Dias de Ausências Legais</t>
  </si>
  <si>
    <t xml:space="preserve">Dias de Licença-Paternidade</t>
  </si>
  <si>
    <t xml:space="preserve">Nascidos Vivos / População Feminina (em %)</t>
  </si>
  <si>
    <t xml:space="preserve">Participação Masculina(em %)</t>
  </si>
  <si>
    <t xml:space="preserve">Empregados afastados por acidente de trabalho (em %)</t>
  </si>
  <si>
    <t xml:space="preserve">Dias pagos pela empresa em acidentes de trabalho</t>
  </si>
  <si>
    <t xml:space="preserve">Dias de Licença-Maternidade</t>
  </si>
  <si>
    <t xml:space="preserve">H</t>
  </si>
  <si>
    <t xml:space="preserve">Participação Feminina (em %)</t>
  </si>
  <si>
    <t xml:space="preserve">Submódulo 4.2 - Intrajornada</t>
  </si>
  <si>
    <t xml:space="preserve">Intrajornada</t>
  </si>
  <si>
    <t xml:space="preserve">Minutos / %</t>
  </si>
  <si>
    <t xml:space="preserve">ENCARGOS SOCIAIS E TRABALHISTAS</t>
  </si>
  <si>
    <t xml:space="preserve">Submódulo 2.1 - 13º (décimo terceiro) Salário e Adicional de Férias</t>
  </si>
  <si>
    <t xml:space="preserve">2.1</t>
  </si>
  <si>
    <t xml:space="preserve">13º Salário e Adicional de Férias</t>
  </si>
  <si>
    <t xml:space="preserve">Memória de Cálculo</t>
  </si>
  <si>
    <t xml:space="preserve">13º Salário</t>
  </si>
  <si>
    <t xml:space="preserve">(1/12) x 100</t>
  </si>
  <si>
    <t xml:space="preserve">Adicional de Férias</t>
  </si>
  <si>
    <t xml:space="preserve">[(1/3)/12] x 100</t>
  </si>
  <si>
    <t xml:space="preserve">Submódulo 2.2 - Encargos Previdencários (GPS), Fundo de Garantia por Tempo de Serviço (FGTS) e Outras Contribuições</t>
  </si>
  <si>
    <t xml:space="preserve">2.2</t>
  </si>
  <si>
    <t xml:space="preserve">Encargos Previdenciários (GPS), Fundo de Garantia por Tempo de Serviço (FGTS) e outras contribuições</t>
  </si>
  <si>
    <t xml:space="preserve">INSS</t>
  </si>
  <si>
    <t xml:space="preserve">Salário Educação</t>
  </si>
  <si>
    <t xml:space="preserve">Riscos Ambientas do Trabalho</t>
  </si>
  <si>
    <t xml:space="preserve">SESC</t>
  </si>
  <si>
    <t xml:space="preserve">SENAC</t>
  </si>
  <si>
    <t xml:space="preserve">SEBRAE</t>
  </si>
  <si>
    <t xml:space="preserve">INCRA</t>
  </si>
  <si>
    <t xml:space="preserve">FGTS</t>
  </si>
  <si>
    <t xml:space="preserve">TOTAL</t>
  </si>
  <si>
    <t xml:space="preserve">Aviso Prévio Indenizado</t>
  </si>
  <si>
    <t xml:space="preserve">[(56,24%) x 5,55% x (1/12)] x 100</t>
  </si>
  <si>
    <t xml:space="preserve">Incidência do FGTS sobre o Aviso Prévio Indenizado</t>
  </si>
  <si>
    <t xml:space="preserve">(8,00% x 0,26%) x 100</t>
  </si>
  <si>
    <t xml:space="preserve">Multa do FGTS e Contribuição Social sobre o Aviso Prévio Indenizado</t>
  </si>
  <si>
    <t xml:space="preserve">[(0,26%) x (40% x 8,00%] x 100</t>
  </si>
  <si>
    <t xml:space="preserve">Aviso Prévio Trabalhado</t>
  </si>
  <si>
    <t xml:space="preserve">[(56,24%) x 94,45% x (7/30)/12] x 100</t>
  </si>
  <si>
    <t xml:space="preserve">Incidência de GPS, FGTS e Outras Contribuições sobre Aviso Prévio Trabalhado</t>
  </si>
  <si>
    <t xml:space="preserve">(36,80% x 1,03%) x 100</t>
  </si>
  <si>
    <t xml:space="preserve">Multa do FGTS e Contribuição Social sobre o Aviso Prévio Trabalhado</t>
  </si>
  <si>
    <t xml:space="preserve">[(1,03%) x (40% x 8,00%)] x 100</t>
  </si>
  <si>
    <t xml:space="preserve">Substituto na Cobertura de Férias </t>
  </si>
  <si>
    <t xml:space="preserve">(1/12) x 100 </t>
  </si>
  <si>
    <t xml:space="preserve">Substituto na Cobertura de Ausências Legais</t>
  </si>
  <si>
    <t xml:space="preserve">[(8/30)/12] x 100</t>
  </si>
  <si>
    <t xml:space="preserve">Substituto na Cobertura de Licença-Paternidade</t>
  </si>
  <si>
    <t xml:space="preserve">{[(20/30)/12] x 1,416% x 45,22%} x 100</t>
  </si>
  <si>
    <t xml:space="preserve">Substituto na Cobertura de Ausência por Acidente de Trabalho</t>
  </si>
  <si>
    <t xml:space="preserve">[(15/30)/12] x 0,44%} x 100</t>
  </si>
  <si>
    <t xml:space="preserve">Substituto na Cobertura de Afastamento Maternidade</t>
  </si>
  <si>
    <t xml:space="preserve">{[(180/30)/12] x 1,416% x 54,78% x 36,80%} x 100</t>
  </si>
  <si>
    <t xml:space="preserve">CUSTOS REFERENTES AO POSTO</t>
  </si>
  <si>
    <t xml:space="preserve">Modalidade de Licitação</t>
  </si>
  <si>
    <t xml:space="preserve">DISCRIMINAÇÃO DOS SERVIÇOS (DADOS REFERENTES À CONTRATAÇÃO)</t>
  </si>
  <si>
    <t xml:space="preserve">Acordo, Conv. ou Sentença Normativa em Dissídio Coletivo (MM/AAAA)</t>
  </si>
  <si>
    <t xml:space="preserve">Quantidade de Postos</t>
  </si>
  <si>
    <t xml:space="preserve">Tipo de Serviço (mesmo serviço com características distintas)</t>
  </si>
  <si>
    <t xml:space="preserve">PLANILHA DE CUSTOS E FORMAÇÃO DE PREÇOS</t>
  </si>
  <si>
    <t xml:space="preserve">EMPREGADOS POR POSTO</t>
  </si>
  <si>
    <t xml:space="preserve">Salário-Base</t>
  </si>
  <si>
    <t xml:space="preserve">Adicional de Periculosidade</t>
  </si>
  <si>
    <t xml:space="preserve">Adicional Noturno</t>
  </si>
  <si>
    <t xml:space="preserve">Adicional de Hora Noturna Reduzida (em %)</t>
  </si>
  <si>
    <t xml:space="preserve">Adicional de Insalubridade</t>
  </si>
  <si>
    <t xml:space="preserve">Abono de Férias</t>
  </si>
  <si>
    <t xml:space="preserve">Substituto na Cobertura de Intervalo para Repouso e Alimentação</t>
  </si>
  <si>
    <t xml:space="preserve">Tributos</t>
  </si>
  <si>
    <t xml:space="preserve">QUADRO RESUMO - CUSTO POR EMPREGADO</t>
  </si>
  <si>
    <t xml:space="preserve">MÓD.</t>
  </si>
  <si>
    <t xml:space="preserve">Mão-de-obra vinculada à execução contratual (valor por empregado)</t>
  </si>
  <si>
    <t xml:space="preserve">Valor    (R$)</t>
  </si>
  <si>
    <t xml:space="preserve">Encargos e Benefícios Anuais, Mensais e Diários</t>
  </si>
  <si>
    <t xml:space="preserve">Custo de Reposição do Profissional Ausente</t>
  </si>
  <si>
    <t xml:space="preserve">VALOR TOTAL DO EMPREGADO</t>
  </si>
  <si>
    <t xml:space="preserve">VALOR TOTAL POR POSTO</t>
  </si>
  <si>
    <t xml:space="preserve">VALOR TOTAL DA CATEGORIA</t>
  </si>
  <si>
    <t xml:space="preserve">UNIFORME – ARTÍFICE</t>
  </si>
  <si>
    <t xml:space="preserve">ITEM</t>
  </si>
  <si>
    <t xml:space="preserve">Descrição</t>
  </si>
  <si>
    <t xml:space="preserve">Qtde</t>
  </si>
  <si>
    <t xml:space="preserve">Valor Unitário</t>
  </si>
  <si>
    <t xml:space="preserve">Total</t>
  </si>
  <si>
    <t xml:space="preserve">Calça comprida em tecido brim, com bolsos dianteiros e traseiros</t>
  </si>
  <si>
    <t xml:space="preserve">Camisa de malha de manga curta em tecido 100% algodão</t>
  </si>
  <si>
    <t xml:space="preserve">Par de calçados fechado, antiderrapante, em couro ou material sintético similar ou emborrachado, com forração interna.</t>
  </si>
  <si>
    <t xml:space="preserve">Par de meias, em tecido 100% algodão.</t>
  </si>
  <si>
    <t xml:space="preserve">TOTAL P/ 24 MESES POR FUNCIONÁRIO</t>
  </si>
  <si>
    <t xml:space="preserve">TOTAL MENSAL POR FUNCIONÁRIO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</si>
</sst>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@"/>
    <numFmt numFmtId="166" formatCode="M/D/YYYY"/>
    <numFmt numFmtId="167" formatCode="#,##0.00"/>
    <numFmt numFmtId="168" formatCode="#,##0.00_);\(#,##0.00\)"/>
    <numFmt numFmtId="169" formatCode="#,##0"/>
    <numFmt numFmtId="170" formatCode="#,##0_);\(#,##0\)"/>
    <numFmt numFmtId="171" formatCode="#,##0.0"/>
    <numFmt numFmtId="172" formatCode="0.00"/>
    <numFmt numFmtId="173" formatCode="#,##0.00_ ;\-#,##0.00\ "/>
    <numFmt numFmtId="174" formatCode="[$R$-416]\ #,##0.00;[RED]\-[$R$-416]\ #,##0.00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 val="true"/>
      <sz val="16"/>
      <color rgb="FF632523"/>
      <name val="Segoe UI Light"/>
      <family val="2"/>
      <charset val="1"/>
    </font>
    <font>
      <b val="true"/>
      <sz val="11"/>
      <color rgb="FFFFFFFF"/>
      <name val="Segoe UI Light"/>
      <family val="2"/>
      <charset val="1"/>
    </font>
    <font>
      <b val="true"/>
      <sz val="11"/>
      <name val="Segoe UI Light"/>
      <family val="2"/>
      <charset val="1"/>
    </font>
    <font>
      <b val="true"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 val="true"/>
      <sz val="10"/>
      <color rgb="FFFFFFFF"/>
      <name val="Segoe UI Light"/>
      <family val="2"/>
      <charset val="1"/>
    </font>
    <font>
      <b val="true"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 val="true"/>
      <sz val="12"/>
      <color rgb="FF632523"/>
      <name val="Segoe UI Light"/>
      <family val="2"/>
      <charset val="1"/>
    </font>
    <font>
      <b val="true"/>
      <sz val="20"/>
      <color rgb="FF953735"/>
      <name val="Segoe UI Light"/>
      <family val="2"/>
      <charset val="1"/>
    </font>
    <font>
      <b val="true"/>
      <sz val="16"/>
      <name val="Segoe UI Light"/>
      <family val="2"/>
      <charset val="1"/>
    </font>
    <font>
      <i val="true"/>
      <sz val="10"/>
      <name val="Segoe UI Light"/>
      <family val="2"/>
      <charset val="1"/>
    </font>
    <font>
      <b val="true"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/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 diagonalUp="false" diagonalDown="false">
      <left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/>
      <right/>
      <top style="thin">
        <color rgb="FFF2F2F2"/>
      </top>
      <bottom/>
      <diagonal/>
    </border>
    <border diagonalUp="false" diagonalDown="false">
      <left/>
      <right/>
      <top/>
      <bottom style="thin">
        <color rgb="FFF2F2F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4" fillId="3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8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8" fontId="4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4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5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4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1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9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2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2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6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4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" fillId="4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5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7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7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showFormulas="false" showGridLines="true" showRowColHeaders="true" showZeros="true" rightToLeft="false" tabSelected="true" showOutlineSymbols="true" defaultGridColor="true" view="normal" topLeftCell="B55" colorId="64" zoomScale="100" zoomScaleNormal="100" zoomScalePageLayoutView="100" workbookViewId="0">
      <selection pane="topLeft" activeCell="F70" activeCellId="0" sqref="F70:F71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9.54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25" min="7" style="1" width="9.09"/>
  </cols>
  <sheetData>
    <row r="1" customFormat="false" ht="21" hidden="false" customHeight="false" outlineLevel="0" collapsed="false">
      <c r="B1" s="2" t="s">
        <v>0</v>
      </c>
      <c r="C1" s="2"/>
      <c r="D1" s="2"/>
      <c r="E1" s="2"/>
      <c r="F1" s="2"/>
    </row>
    <row r="2" customFormat="false" ht="21" hidden="false" customHeight="false" outlineLevel="0" collapsed="false">
      <c r="B2" s="2" t="s">
        <v>1</v>
      </c>
      <c r="C2" s="2"/>
      <c r="D2" s="2"/>
      <c r="E2" s="3" t="s">
        <v>2</v>
      </c>
      <c r="F2" s="4" t="s">
        <v>3</v>
      </c>
    </row>
    <row r="3" customFormat="false" ht="16.5" hidden="false" customHeight="false" outlineLevel="0" collapsed="false">
      <c r="B3" s="5"/>
      <c r="C3" s="5"/>
      <c r="D3" s="5"/>
      <c r="E3" s="5"/>
      <c r="F3" s="5"/>
    </row>
    <row r="4" s="5" customFormat="true" ht="25" hidden="false" customHeight="false" outlineLevel="0" collapsed="false">
      <c r="B4" s="6" t="s">
        <v>4</v>
      </c>
      <c r="C4" s="6"/>
      <c r="D4" s="6"/>
      <c r="E4" s="6"/>
      <c r="F4" s="6"/>
    </row>
    <row r="5" s="5" customFormat="true" ht="16" hidden="false" customHeight="true" outlineLevel="0" collapsed="false">
      <c r="B5" s="7" t="s">
        <v>5</v>
      </c>
      <c r="C5" s="7"/>
      <c r="D5" s="7"/>
      <c r="E5" s="7"/>
      <c r="F5" s="7"/>
    </row>
    <row r="6" s="5" customFormat="true" ht="16" hidden="false" customHeight="true" outlineLevel="0" collapsed="false">
      <c r="B6" s="8" t="s">
        <v>6</v>
      </c>
      <c r="C6" s="8"/>
      <c r="D6" s="9" t="s">
        <v>7</v>
      </c>
      <c r="E6" s="9"/>
      <c r="F6" s="9"/>
    </row>
    <row r="7" s="5" customFormat="true" ht="15.75" hidden="false" customHeight="true" outlineLevel="0" collapsed="false">
      <c r="B7" s="10" t="s">
        <v>8</v>
      </c>
      <c r="C7" s="10"/>
      <c r="D7" s="11" t="s">
        <v>9</v>
      </c>
      <c r="E7" s="11"/>
      <c r="F7" s="12" t="s">
        <v>10</v>
      </c>
    </row>
    <row r="8" s="5" customFormat="true" ht="15.75" hidden="false" customHeight="true" outlineLevel="0" collapsed="false">
      <c r="B8" s="8" t="s">
        <v>11</v>
      </c>
      <c r="C8" s="8"/>
      <c r="D8" s="12" t="s">
        <v>3</v>
      </c>
      <c r="E8" s="12"/>
      <c r="F8" s="12" t="s">
        <v>12</v>
      </c>
    </row>
    <row r="9" s="5" customFormat="true" ht="9.75" hidden="false" customHeight="true" outlineLevel="0" collapsed="false">
      <c r="C9" s="13"/>
      <c r="D9" s="14"/>
      <c r="E9" s="14"/>
      <c r="F9" s="15"/>
    </row>
    <row r="10" s="5" customFormat="true" ht="15.75" hidden="false" customHeight="true" outlineLevel="0" collapsed="false">
      <c r="B10" s="7" t="s">
        <v>13</v>
      </c>
      <c r="C10" s="7"/>
      <c r="D10" s="7"/>
      <c r="E10" s="7"/>
      <c r="F10" s="7"/>
    </row>
    <row r="11" s="5" customFormat="true" ht="18" hidden="false" customHeight="true" outlineLevel="0" collapsed="false">
      <c r="B11" s="16" t="s">
        <v>14</v>
      </c>
      <c r="C11" s="8" t="s">
        <v>15</v>
      </c>
      <c r="D11" s="8"/>
      <c r="E11" s="8"/>
      <c r="F11" s="17" t="s">
        <v>3</v>
      </c>
    </row>
    <row r="12" s="5" customFormat="true" ht="16" hidden="false" customHeight="true" outlineLevel="0" collapsed="false">
      <c r="B12" s="18" t="s">
        <v>16</v>
      </c>
      <c r="C12" s="19" t="s">
        <v>17</v>
      </c>
      <c r="D12" s="20" t="s">
        <v>18</v>
      </c>
      <c r="E12" s="20"/>
      <c r="F12" s="20"/>
    </row>
    <row r="13" s="5" customFormat="true" ht="16" hidden="false" customHeight="true" outlineLevel="0" collapsed="false">
      <c r="B13" s="16" t="s">
        <v>19</v>
      </c>
      <c r="C13" s="8" t="s">
        <v>20</v>
      </c>
      <c r="D13" s="8"/>
      <c r="E13" s="8"/>
      <c r="F13" s="21" t="s">
        <v>21</v>
      </c>
    </row>
    <row r="14" s="5" customFormat="true" ht="18.75" hidden="false" customHeight="true" outlineLevel="0" collapsed="false">
      <c r="B14" s="18" t="s">
        <v>22</v>
      </c>
      <c r="C14" s="22" t="s">
        <v>23</v>
      </c>
      <c r="D14" s="22"/>
      <c r="E14" s="22"/>
      <c r="F14" s="12" t="s">
        <v>24</v>
      </c>
    </row>
    <row r="15" s="5" customFormat="true" ht="16" hidden="false" customHeight="true" outlineLevel="0" collapsed="false">
      <c r="B15" s="18" t="s">
        <v>25</v>
      </c>
      <c r="C15" s="8" t="s">
        <v>26</v>
      </c>
      <c r="D15" s="8"/>
      <c r="E15" s="8"/>
      <c r="F15" s="23" t="n">
        <v>24</v>
      </c>
    </row>
    <row r="16" s="5" customFormat="true" ht="16" hidden="false" customHeight="true" outlineLevel="0" collapsed="false">
      <c r="C16" s="13"/>
      <c r="D16" s="14"/>
      <c r="E16" s="14"/>
      <c r="F16" s="15"/>
    </row>
    <row r="17" s="5" customFormat="true" ht="16.5" hidden="false" customHeight="false" outlineLevel="0" collapsed="false">
      <c r="B17" s="7" t="s">
        <v>27</v>
      </c>
      <c r="C17" s="7"/>
      <c r="D17" s="7"/>
      <c r="E17" s="7"/>
      <c r="F17" s="7"/>
    </row>
    <row r="18" s="24" customFormat="true" ht="49.5" hidden="false" customHeight="false" outlineLevel="0" collapsed="false">
      <c r="B18" s="25" t="s">
        <v>28</v>
      </c>
      <c r="C18" s="25" t="s">
        <v>29</v>
      </c>
      <c r="D18" s="26" t="s">
        <v>30</v>
      </c>
      <c r="E18" s="26" t="s">
        <v>31</v>
      </c>
      <c r="F18" s="26" t="s">
        <v>32</v>
      </c>
    </row>
    <row r="19" s="5" customFormat="true" ht="16.5" hidden="false" customHeight="true" outlineLevel="0" collapsed="false">
      <c r="B19" s="16" t="n">
        <v>1</v>
      </c>
      <c r="C19" s="27" t="s">
        <v>33</v>
      </c>
      <c r="D19" s="28" t="s">
        <v>34</v>
      </c>
      <c r="E19" s="29" t="n">
        <v>1</v>
      </c>
      <c r="F19" s="28" t="n">
        <v>2</v>
      </c>
    </row>
    <row r="20" s="5" customFormat="true" ht="16" hidden="false" customHeight="true" outlineLevel="0" collapsed="false">
      <c r="B20" s="30"/>
      <c r="C20" s="30"/>
      <c r="D20" s="30"/>
      <c r="E20" s="30"/>
      <c r="F20" s="30"/>
    </row>
    <row r="21" s="5" customFormat="true" ht="15" hidden="false" customHeight="true" outlineLevel="0" collapsed="false">
      <c r="B21" s="7" t="s">
        <v>35</v>
      </c>
      <c r="C21" s="7"/>
      <c r="D21" s="7"/>
      <c r="E21" s="7"/>
      <c r="F21" s="7"/>
    </row>
    <row r="22" s="5" customFormat="true" ht="15" hidden="false" customHeight="true" outlineLevel="0" collapsed="false">
      <c r="B22" s="16" t="n">
        <v>1</v>
      </c>
      <c r="C22" s="31" t="s">
        <v>36</v>
      </c>
      <c r="D22" s="9" t="s">
        <v>37</v>
      </c>
      <c r="E22" s="9"/>
      <c r="F22" s="9"/>
    </row>
    <row r="23" s="5" customFormat="true" ht="23" hidden="false" customHeight="true" outlineLevel="0" collapsed="false">
      <c r="B23" s="16" t="n">
        <v>2</v>
      </c>
      <c r="C23" s="32" t="s">
        <v>38</v>
      </c>
      <c r="D23" s="33" t="s">
        <v>39</v>
      </c>
      <c r="E23" s="33"/>
      <c r="F23" s="33"/>
    </row>
    <row r="24" s="5" customFormat="true" ht="16" hidden="false" customHeight="true" outlineLevel="0" collapsed="false">
      <c r="B24" s="16" t="n">
        <v>3</v>
      </c>
      <c r="C24" s="8" t="s">
        <v>40</v>
      </c>
      <c r="D24" s="8"/>
      <c r="E24" s="8"/>
      <c r="F24" s="17" t="n">
        <v>45658</v>
      </c>
    </row>
    <row r="25" s="5" customFormat="true" ht="16" hidden="false" customHeight="true" outlineLevel="0" collapsed="false">
      <c r="B25" s="16" t="n">
        <v>4</v>
      </c>
      <c r="C25" s="10" t="s">
        <v>41</v>
      </c>
      <c r="D25" s="10"/>
      <c r="E25" s="10"/>
      <c r="F25" s="34" t="n">
        <v>1518</v>
      </c>
    </row>
    <row r="26" s="5" customFormat="true" ht="16.5" hidden="false" customHeight="false" outlineLevel="0" collapsed="false">
      <c r="B26" s="35"/>
      <c r="C26" s="36"/>
      <c r="D26" s="36"/>
      <c r="E26" s="36"/>
      <c r="F26" s="37"/>
    </row>
    <row r="27" s="5" customFormat="true" ht="25" hidden="false" customHeight="false" outlineLevel="0" collapsed="false">
      <c r="B27" s="38" t="s">
        <v>42</v>
      </c>
      <c r="C27" s="1"/>
      <c r="D27" s="1"/>
      <c r="E27" s="1"/>
      <c r="F27" s="1"/>
    </row>
    <row r="28" customFormat="false" ht="16.5" hidden="false" customHeight="false" outlineLevel="0" collapsed="false">
      <c r="B28" s="39" t="s">
        <v>43</v>
      </c>
      <c r="E28" s="40"/>
      <c r="F28" s="40"/>
    </row>
    <row r="29" customFormat="false" ht="16.5" hidden="false" customHeight="true" outlineLevel="0" collapsed="false">
      <c r="B29" s="18" t="n">
        <v>1</v>
      </c>
      <c r="C29" s="41" t="s">
        <v>44</v>
      </c>
      <c r="D29" s="41"/>
      <c r="E29" s="41"/>
      <c r="F29" s="42" t="s">
        <v>45</v>
      </c>
    </row>
    <row r="30" customFormat="false" ht="16.4" hidden="false" customHeight="true" outlineLevel="0" collapsed="false">
      <c r="B30" s="18" t="s">
        <v>14</v>
      </c>
      <c r="C30" s="43" t="s">
        <v>46</v>
      </c>
      <c r="D30" s="43"/>
      <c r="E30" s="43"/>
      <c r="F30" s="44" t="n">
        <v>1876.12</v>
      </c>
    </row>
    <row r="31" customFormat="false" ht="16.5" hidden="false" customHeight="true" outlineLevel="0" collapsed="false">
      <c r="B31" s="18" t="s">
        <v>16</v>
      </c>
      <c r="C31" s="22" t="s">
        <v>47</v>
      </c>
      <c r="D31" s="22"/>
      <c r="E31" s="22"/>
      <c r="F31" s="45"/>
    </row>
    <row r="32" customFormat="false" ht="16.5" hidden="false" customHeight="true" outlineLevel="0" collapsed="false">
      <c r="B32" s="18" t="s">
        <v>19</v>
      </c>
      <c r="C32" s="43" t="s">
        <v>48</v>
      </c>
      <c r="D32" s="43"/>
      <c r="E32" s="43"/>
      <c r="F32" s="45"/>
    </row>
    <row r="33" customFormat="false" ht="16.5" hidden="false" customHeight="true" outlineLevel="0" collapsed="false">
      <c r="B33" s="18" t="s">
        <v>22</v>
      </c>
      <c r="C33" s="46" t="s">
        <v>49</v>
      </c>
      <c r="D33" s="46"/>
      <c r="E33" s="46"/>
      <c r="F33" s="45"/>
    </row>
    <row r="34" customFormat="false" ht="16.5" hidden="false" customHeight="true" outlineLevel="0" collapsed="false">
      <c r="B34" s="18" t="s">
        <v>25</v>
      </c>
      <c r="C34" s="47" t="s">
        <v>50</v>
      </c>
      <c r="D34" s="47"/>
      <c r="E34" s="47"/>
      <c r="F34" s="44"/>
    </row>
    <row r="35" customFormat="false" ht="16.5" hidden="false" customHeight="true" outlineLevel="0" collapsed="false">
      <c r="B35" s="18" t="s">
        <v>51</v>
      </c>
      <c r="C35" s="47" t="s">
        <v>52</v>
      </c>
      <c r="D35" s="47"/>
      <c r="E35" s="47"/>
      <c r="F35" s="44"/>
    </row>
    <row r="36" customFormat="false" ht="16.5" hidden="false" customHeight="true" outlineLevel="0" collapsed="false">
      <c r="B36" s="18" t="s">
        <v>53</v>
      </c>
      <c r="C36" s="47" t="s">
        <v>54</v>
      </c>
      <c r="D36" s="47"/>
      <c r="E36" s="47"/>
      <c r="F36" s="44"/>
    </row>
    <row r="37" s="48" customFormat="true" ht="16.5" hidden="false" customHeight="false" outlineLevel="0" collapsed="false"/>
    <row r="38" s="48" customFormat="true" ht="16.5" hidden="false" customHeight="false" outlineLevel="0" collapsed="false">
      <c r="A38" s="1"/>
      <c r="B38" s="39" t="s">
        <v>55</v>
      </c>
      <c r="C38" s="1"/>
      <c r="D38" s="1"/>
      <c r="E38" s="49"/>
      <c r="F38" s="49"/>
    </row>
    <row r="39" s="48" customFormat="true" ht="16.5" hidden="false" customHeight="false" outlineLevel="0" collapsed="false">
      <c r="A39" s="1"/>
      <c r="B39" s="39" t="s">
        <v>56</v>
      </c>
      <c r="C39" s="5"/>
      <c r="D39" s="5"/>
      <c r="E39" s="5"/>
      <c r="F39" s="5"/>
    </row>
    <row r="40" s="48" customFormat="true" ht="15" hidden="false" customHeight="true" outlineLevel="0" collapsed="false">
      <c r="A40" s="1"/>
      <c r="B40" s="18" t="s">
        <v>57</v>
      </c>
      <c r="C40" s="41" t="s">
        <v>58</v>
      </c>
      <c r="D40" s="41"/>
      <c r="E40" s="42" t="s">
        <v>59</v>
      </c>
      <c r="F40" s="42" t="s">
        <v>60</v>
      </c>
    </row>
    <row r="41" s="48" customFormat="true" ht="16.5" hidden="false" customHeight="false" outlineLevel="0" collapsed="false">
      <c r="A41" s="1"/>
      <c r="B41" s="50" t="s">
        <v>14</v>
      </c>
      <c r="C41" s="8" t="s">
        <v>61</v>
      </c>
      <c r="D41" s="8"/>
      <c r="E41" s="23" t="s">
        <v>62</v>
      </c>
      <c r="F41" s="51" t="n">
        <v>7.4</v>
      </c>
    </row>
    <row r="42" s="48" customFormat="true" ht="16.5" hidden="false" customHeight="false" outlineLevel="0" collapsed="false">
      <c r="B42" s="50" t="s">
        <v>16</v>
      </c>
      <c r="C42" s="10" t="s">
        <v>63</v>
      </c>
      <c r="D42" s="10"/>
      <c r="E42" s="52" t="s">
        <v>62</v>
      </c>
      <c r="F42" s="51" t="n">
        <v>27</v>
      </c>
    </row>
    <row r="43" s="48" customFormat="true" ht="16.5" hidden="false" customHeight="false" outlineLevel="0" collapsed="false">
      <c r="B43" s="50" t="s">
        <v>19</v>
      </c>
      <c r="C43" s="8" t="s">
        <v>64</v>
      </c>
      <c r="D43" s="8"/>
      <c r="E43" s="23" t="s">
        <v>65</v>
      </c>
      <c r="F43" s="53" t="n">
        <v>22</v>
      </c>
    </row>
    <row r="44" customFormat="false" ht="16.4" hidden="false" customHeight="true" outlineLevel="0" collapsed="false">
      <c r="B44" s="50" t="s">
        <v>22</v>
      </c>
      <c r="C44" s="47" t="s">
        <v>66</v>
      </c>
      <c r="D44" s="47"/>
      <c r="E44" s="54" t="s">
        <v>65</v>
      </c>
      <c r="F44" s="44" t="n">
        <v>20.79</v>
      </c>
    </row>
    <row r="45" customFormat="false" ht="16.4" hidden="false" customHeight="true" outlineLevel="0" collapsed="false">
      <c r="B45" s="50" t="s">
        <v>25</v>
      </c>
      <c r="C45" s="47" t="s">
        <v>67</v>
      </c>
      <c r="D45" s="47"/>
      <c r="E45" s="54" t="s">
        <v>65</v>
      </c>
      <c r="F45" s="44"/>
    </row>
    <row r="46" customFormat="false" ht="16.4" hidden="false" customHeight="true" outlineLevel="0" collapsed="false">
      <c r="B46" s="50" t="s">
        <v>51</v>
      </c>
      <c r="C46" s="47" t="s">
        <v>68</v>
      </c>
      <c r="D46" s="47"/>
      <c r="E46" s="54" t="s">
        <v>65</v>
      </c>
      <c r="F46" s="44"/>
    </row>
    <row r="47" customFormat="false" ht="16.4" hidden="false" customHeight="true" outlineLevel="0" collapsed="false">
      <c r="B47" s="50" t="s">
        <v>53</v>
      </c>
      <c r="C47" s="47" t="s">
        <v>69</v>
      </c>
      <c r="D47" s="47"/>
      <c r="E47" s="54" t="s">
        <v>65</v>
      </c>
      <c r="F47" s="44"/>
    </row>
    <row r="48" s="48" customFormat="true" ht="16.5" hidden="false" customHeight="false" outlineLevel="0" collapsed="false"/>
    <row r="49" s="5" customFormat="true" ht="16.5" hidden="false" customHeight="false" outlineLevel="0" collapsed="false">
      <c r="B49" s="39" t="s">
        <v>70</v>
      </c>
      <c r="C49" s="55"/>
      <c r="D49" s="56"/>
      <c r="E49" s="1"/>
      <c r="F49" s="1"/>
    </row>
    <row r="50" s="5" customFormat="true" ht="15" hidden="false" customHeight="true" outlineLevel="0" collapsed="false">
      <c r="B50" s="39" t="s">
        <v>71</v>
      </c>
      <c r="C50" s="55"/>
      <c r="D50" s="56"/>
      <c r="E50" s="57"/>
      <c r="F50" s="57"/>
    </row>
    <row r="51" customFormat="false" ht="16.5" hidden="false" customHeight="true" outlineLevel="0" collapsed="false">
      <c r="A51" s="5"/>
      <c r="B51" s="18" t="s">
        <v>72</v>
      </c>
      <c r="C51" s="41" t="s">
        <v>73</v>
      </c>
      <c r="D51" s="41"/>
      <c r="E51" s="41"/>
      <c r="F51" s="42" t="s">
        <v>74</v>
      </c>
    </row>
    <row r="52" s="48" customFormat="true" ht="16.5" hidden="false" customHeight="true" outlineLevel="0" collapsed="false">
      <c r="B52" s="42" t="s">
        <v>14</v>
      </c>
      <c r="C52" s="58" t="s">
        <v>75</v>
      </c>
      <c r="D52" s="58"/>
      <c r="E52" s="58"/>
      <c r="F52" s="51"/>
    </row>
    <row r="53" customFormat="false" ht="16.5" hidden="false" customHeight="false" outlineLevel="0" collapsed="false">
      <c r="B53" s="48"/>
      <c r="C53" s="48"/>
      <c r="D53" s="48"/>
      <c r="E53" s="48"/>
      <c r="F53" s="48"/>
    </row>
    <row r="54" customFormat="false" ht="16.5" hidden="false" customHeight="false" outlineLevel="0" collapsed="false">
      <c r="B54" s="39" t="s">
        <v>76</v>
      </c>
      <c r="C54" s="55"/>
      <c r="D54" s="56"/>
      <c r="E54" s="57"/>
      <c r="F54" s="57"/>
    </row>
    <row r="55" customFormat="false" ht="16.5" hidden="false" customHeight="false" outlineLevel="0" collapsed="false">
      <c r="B55" s="18" t="s">
        <v>77</v>
      </c>
      <c r="C55" s="59" t="s">
        <v>78</v>
      </c>
      <c r="D55" s="59"/>
      <c r="E55" s="59"/>
      <c r="F55" s="42" t="s">
        <v>79</v>
      </c>
    </row>
    <row r="56" customFormat="false" ht="15" hidden="false" customHeight="true" outlineLevel="0" collapsed="false">
      <c r="B56" s="18" t="s">
        <v>14</v>
      </c>
      <c r="C56" s="43" t="s">
        <v>80</v>
      </c>
      <c r="D56" s="43"/>
      <c r="E56" s="43"/>
      <c r="F56" s="45"/>
    </row>
    <row r="57" s="48" customFormat="true" ht="16.5" hidden="false" customHeight="true" outlineLevel="0" collapsed="false">
      <c r="B57" s="18" t="s">
        <v>16</v>
      </c>
      <c r="C57" s="22" t="s">
        <v>81</v>
      </c>
      <c r="D57" s="22"/>
      <c r="E57" s="22"/>
      <c r="F57" s="45"/>
    </row>
    <row r="58" customFormat="false" ht="16.5" hidden="false" customHeight="false" outlineLevel="0" collapsed="false">
      <c r="B58" s="48"/>
      <c r="C58" s="48"/>
      <c r="D58" s="48"/>
      <c r="E58" s="48"/>
      <c r="F58" s="48"/>
    </row>
    <row r="59" customFormat="false" ht="15.75" hidden="false" customHeight="true" outlineLevel="0" collapsed="false">
      <c r="B59" s="39" t="s">
        <v>82</v>
      </c>
      <c r="C59" s="55"/>
      <c r="D59" s="55"/>
      <c r="E59" s="57"/>
      <c r="F59" s="57"/>
    </row>
    <row r="60" customFormat="false" ht="16.5" hidden="false" customHeight="true" outlineLevel="0" collapsed="false">
      <c r="B60" s="60" t="n">
        <v>5</v>
      </c>
      <c r="C60" s="61" t="s">
        <v>83</v>
      </c>
      <c r="D60" s="61"/>
      <c r="E60" s="61"/>
      <c r="F60" s="62" t="s">
        <v>84</v>
      </c>
    </row>
    <row r="61" customFormat="false" ht="16.4" hidden="false" customHeight="true" outlineLevel="0" collapsed="false">
      <c r="B61" s="63" t="s">
        <v>14</v>
      </c>
      <c r="C61" s="64" t="s">
        <v>85</v>
      </c>
      <c r="D61" s="64"/>
      <c r="E61" s="64"/>
      <c r="F61" s="65" t="n">
        <f aca="false">UNIFORME!F10</f>
        <v>28.7966666666667</v>
      </c>
    </row>
    <row r="62" s="67" customFormat="true" ht="16.5" hidden="false" customHeight="true" outlineLevel="0" collapsed="false">
      <c r="A62" s="1"/>
      <c r="B62" s="63" t="s">
        <v>16</v>
      </c>
      <c r="C62" s="66" t="s">
        <v>86</v>
      </c>
      <c r="D62" s="66"/>
      <c r="E62" s="66"/>
      <c r="F62" s="65"/>
    </row>
    <row r="63" s="67" customFormat="true" ht="16.4" hidden="false" customHeight="true" outlineLevel="0" collapsed="false">
      <c r="A63" s="1"/>
      <c r="B63" s="63" t="s">
        <v>19</v>
      </c>
      <c r="C63" s="64" t="s">
        <v>87</v>
      </c>
      <c r="D63" s="64"/>
      <c r="E63" s="64"/>
      <c r="F63" s="65"/>
    </row>
    <row r="64" s="48" customFormat="true" ht="16.5" hidden="false" customHeight="true" outlineLevel="0" collapsed="false">
      <c r="B64" s="63" t="s">
        <v>22</v>
      </c>
      <c r="C64" s="47" t="s">
        <v>88</v>
      </c>
      <c r="D64" s="47"/>
      <c r="E64" s="47"/>
      <c r="F64" s="44"/>
    </row>
    <row r="65" s="68" customFormat="true" ht="16.5" hidden="false" customHeight="true" outlineLevel="0" collapsed="false">
      <c r="A65" s="1"/>
      <c r="B65" s="48"/>
      <c r="C65" s="48"/>
      <c r="D65" s="48"/>
      <c r="E65" s="48"/>
      <c r="F65" s="48"/>
    </row>
    <row r="66" s="70" customFormat="true" ht="16.5" hidden="false" customHeight="true" outlineLevel="0" collapsed="false">
      <c r="A66" s="1"/>
      <c r="B66" s="69" t="s">
        <v>89</v>
      </c>
      <c r="C66" s="69"/>
      <c r="D66" s="69"/>
      <c r="E66" s="69"/>
      <c r="F66" s="69"/>
    </row>
    <row r="67" s="70" customFormat="true" ht="16.5" hidden="false" customHeight="false" outlineLevel="0" collapsed="false">
      <c r="A67" s="67"/>
      <c r="B67" s="18" t="n">
        <v>6</v>
      </c>
      <c r="C67" s="59" t="s">
        <v>90</v>
      </c>
      <c r="D67" s="59"/>
      <c r="E67" s="59"/>
      <c r="F67" s="42" t="s">
        <v>74</v>
      </c>
    </row>
    <row r="68" s="70" customFormat="true" ht="16.4" hidden="false" customHeight="true" outlineLevel="0" collapsed="false">
      <c r="A68" s="67"/>
      <c r="B68" s="18" t="s">
        <v>14</v>
      </c>
      <c r="C68" s="71" t="s">
        <v>91</v>
      </c>
      <c r="D68" s="71"/>
      <c r="E68" s="71"/>
      <c r="F68" s="72" t="n">
        <v>4.73</v>
      </c>
    </row>
    <row r="69" s="70" customFormat="true" ht="16.4" hidden="false" customHeight="true" outlineLevel="0" collapsed="false">
      <c r="A69" s="68"/>
      <c r="B69" s="42" t="s">
        <v>16</v>
      </c>
      <c r="C69" s="22" t="s">
        <v>92</v>
      </c>
      <c r="D69" s="22"/>
      <c r="E69" s="22"/>
      <c r="F69" s="72" t="n">
        <v>5.57</v>
      </c>
    </row>
    <row r="70" customFormat="false" ht="16.4" hidden="false" customHeight="true" outlineLevel="0" collapsed="false">
      <c r="B70" s="73" t="s">
        <v>93</v>
      </c>
      <c r="C70" s="71" t="s">
        <v>94</v>
      </c>
      <c r="D70" s="71"/>
      <c r="E70" s="71" t="n">
        <f aca="false">PERC_PIS</f>
        <v>0.65</v>
      </c>
      <c r="F70" s="72" t="n">
        <v>0.65</v>
      </c>
    </row>
    <row r="71" customFormat="false" ht="16.4" hidden="false" customHeight="true" outlineLevel="0" collapsed="false">
      <c r="B71" s="73" t="s">
        <v>95</v>
      </c>
      <c r="C71" s="22" t="s">
        <v>96</v>
      </c>
      <c r="D71" s="22"/>
      <c r="E71" s="22" t="n">
        <f aca="false">PERC_COFINS</f>
        <v>3</v>
      </c>
      <c r="F71" s="72" t="n">
        <v>3</v>
      </c>
    </row>
    <row r="72" s="48" customFormat="true" ht="16.4" hidden="false" customHeight="true" outlineLevel="0" collapsed="false">
      <c r="B72" s="73" t="s">
        <v>97</v>
      </c>
      <c r="C72" s="71" t="s">
        <v>98</v>
      </c>
      <c r="D72" s="71"/>
      <c r="E72" s="71" t="n">
        <f aca="false">PERC_ISS</f>
        <v>5</v>
      </c>
      <c r="F72" s="72" t="n">
        <v>5</v>
      </c>
    </row>
    <row r="73" customFormat="false" ht="16.5" hidden="false" customHeight="false" outlineLevel="0" collapsed="false">
      <c r="B73" s="48"/>
      <c r="C73" s="48"/>
      <c r="D73" s="48"/>
      <c r="E73" s="48"/>
      <c r="F73" s="48"/>
    </row>
    <row r="74" customFormat="false" ht="33.75" hidden="false" customHeight="true" outlineLevel="0" collapsed="false">
      <c r="B74" s="74" t="s">
        <v>99</v>
      </c>
      <c r="C74" s="75"/>
      <c r="D74" s="75"/>
      <c r="E74" s="75"/>
      <c r="F74" s="76"/>
    </row>
    <row r="75" customFormat="false" ht="32.25" hidden="false" customHeight="true" outlineLevel="0" collapsed="false">
      <c r="B75" s="77" t="s">
        <v>100</v>
      </c>
      <c r="C75" s="77"/>
      <c r="D75" s="77"/>
      <c r="E75" s="77"/>
      <c r="F75" s="77"/>
    </row>
  </sheetData>
  <mergeCells count="56">
    <mergeCell ref="B1:F1"/>
    <mergeCell ref="B2:D2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F17"/>
    <mergeCell ref="B21:F21"/>
    <mergeCell ref="D22:F22"/>
    <mergeCell ref="D23:F23"/>
    <mergeCell ref="C24:E24"/>
    <mergeCell ref="C25:E25"/>
    <mergeCell ref="C29:E29"/>
    <mergeCell ref="C30:E30"/>
    <mergeCell ref="C31:E31"/>
    <mergeCell ref="C32:E32"/>
    <mergeCell ref="C33:E33"/>
    <mergeCell ref="C34:E34"/>
    <mergeCell ref="C35:E35"/>
    <mergeCell ref="C36:E36"/>
    <mergeCell ref="C40:D40"/>
    <mergeCell ref="C41:D41"/>
    <mergeCell ref="C42:D42"/>
    <mergeCell ref="C43:D43"/>
    <mergeCell ref="C44:D44"/>
    <mergeCell ref="C45:D45"/>
    <mergeCell ref="C46:D46"/>
    <mergeCell ref="C47:D47"/>
    <mergeCell ref="C51:E51"/>
    <mergeCell ref="C52:E52"/>
    <mergeCell ref="C55:E55"/>
    <mergeCell ref="C56:E56"/>
    <mergeCell ref="C57:E57"/>
    <mergeCell ref="C60:E60"/>
    <mergeCell ref="C61:E61"/>
    <mergeCell ref="C62:E62"/>
    <mergeCell ref="C63:E63"/>
    <mergeCell ref="C64:E64"/>
    <mergeCell ref="B66:F66"/>
    <mergeCell ref="C67:E67"/>
    <mergeCell ref="C68:E68"/>
    <mergeCell ref="C69:E69"/>
    <mergeCell ref="C70:E70"/>
    <mergeCell ref="C71:E71"/>
    <mergeCell ref="C72:E72"/>
    <mergeCell ref="B75:F75"/>
  </mergeCells>
  <dataValidations count="10">
    <dataValidation allowBlank="true" error="O percentual de ISS deve estar entre 2 e 5%, conforme o inciso I do artigo 8º e o caput do art. 8º-A da Lei Complementar nº 116/2003." errorTitle="Erro na inserção de dados." operator="between" showDropDown="false" showErrorMessage="true" showInputMessage="true" sqref="F72" type="whole">
      <formula1>2</formula1>
      <formula2>5</formula2>
    </dataValidation>
    <dataValidation allowBlank="true" error="O percentual recomendado de lucro é de 5,57%, conforme estudos realizados pela Auditoria Interna do MPU." errorTitle="Erro na inserção de dados." operator="between" showDropDown="false" showErrorMessage="true" showInputMessage="true" sqref="F69" type="decimal">
      <formula1>0</formula1>
      <formula2>5.57</formula2>
    </dataValidation>
    <dataValidation allowBlank="true" error="O percentual recomendado de custos indiretos é de 4,73%, conforme estudos realizados pela Auditoria Interna do MPU." errorTitle="Erro na inserção de dados." operator="between" showDropDown="false" showErrorMessage="true" showInputMessage="true" sqref="F68" type="decimal">
      <formula1>0</formula1>
      <formula2>4.73</formula2>
    </dataValidation>
    <dataValidation allowBlank="true" error="Tem certeza que o valor do salário-base é menor do que o salário mínimo vigente no país?" errorTitle="Atentar para o valor do salário." operator="greaterThanOrEqual" showDropDown="false" showErrorMessage="true" showInputMessage="true" sqref="F30" type="decimal">
      <formula1>F25</formula1>
      <formula2>0</formula2>
    </dataValidation>
    <dataValidation allowBlank="true" error="De acordo com o art. 192 da CLT, estão previstos somente os percentuais de 40% (máximo), 20% (médio) ou 10% (mínimo), conforme for a exposição ao risco." errorTitle="Erro na inserção de dados." operator="equal" showDropDown="false" showErrorMessage="true" showInputMessage="true" sqref="F33" type="list">
      <formula1>"0,10,20,40"</formula1>
      <formula2>0</formula2>
    </dataValidation>
    <dataValidation allowBlank="true" error="Somente estão previstos 15 dias (intercalados), no caso de postos 12x36 horas, ou 22 dias (úteis), no caso de postos 44 horas." errorTitle="Erro na inserção de dados." operator="between" showDropDown="false" showErrorMessage="true" showInputMessage="true" sqref="F43" type="list">
      <formula1>"15,22"</formula1>
      <formula2>0</formula2>
    </dataValidation>
    <dataValidation allowBlank="true" error="Tem certeza que deseja incluir este item de custo e que o tempo de intervalo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7" type="whole">
      <formula1>0</formula1>
      <formula2>0</formula2>
    </dataValidation>
    <dataValidation allowBlank="true" error="Tem certeza que deseja incluir este item de custo e que o percentual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6" type="whole">
      <formula1>0</formula1>
      <formula2>0</formula2>
    </dataValidation>
    <dataValidation allowBlank="true" operator="between" showDropDown="false" showErrorMessage="true" showInputMessage="true" sqref="F13" type="list">
      <formula1>"AC,AL,AP,AM,BA,CE,DF,ES,GO,MA,MG,MS,MT,PA,PB,PR,PE,PI,RJ,RN,RO,RR,RS,SC,SP,SE,TO"</formula1>
      <formula2>0</formula2>
    </dataValidation>
    <dataValidation allowBlank="true" error="Tem certeza que o percentual do PIS é diferente de 0,65%, previsto no art. 31 da Lei nº 10.833/2003?" errorTitle="Atentar para o percentual." operator="equal" showDropDown="false" showErrorMessage="true" showInputMessage="true" sqref="F70:F71" type="none">
      <formula1>0.65</formula1>
      <formula2>0</formula2>
    </dataValidation>
  </dataValidations>
  <printOptions headings="false" gridLines="false" gridLinesSet="true" horizontalCentered="false" verticalCentered="false"/>
  <pageMargins left="0.170138888888889" right="0.170138888888889" top="0.459722222222222" bottom="0.32986111111111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showFormulas="false" showGridLines="true" showRowColHeaders="true" showZeros="true" rightToLeft="false" tabSelected="false" showOutlineSymbols="true" defaultGridColor="true" view="normal" topLeftCell="B37" colorId="64" zoomScale="100" zoomScaleNormal="100" zoomScalePageLayoutView="100" workbookViewId="0">
      <selection pane="topLeft" activeCell="B23" activeCellId="1" sqref="F70:F71 B23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9.54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15" min="7" style="1" width="9.09"/>
    <col collapsed="false" customWidth="true" hidden="false" outlineLevel="0" max="1025" min="1016" style="0" width="8.63"/>
  </cols>
  <sheetData>
    <row r="1" s="5" customFormat="true" ht="25" hidden="false" customHeight="false" outlineLevel="0" collapsed="false">
      <c r="B1" s="38" t="s">
        <v>101</v>
      </c>
      <c r="C1" s="1"/>
      <c r="D1" s="1"/>
      <c r="E1" s="1"/>
      <c r="F1" s="1"/>
    </row>
    <row r="2" customFormat="false" ht="16.5" hidden="false" customHeight="false" outlineLevel="0" collapsed="false">
      <c r="B2" s="39" t="s">
        <v>43</v>
      </c>
      <c r="E2" s="40"/>
      <c r="F2" s="40"/>
    </row>
    <row r="3" customFormat="false" ht="31.25" hidden="false" customHeight="true" outlineLevel="0" collapsed="false">
      <c r="B3" s="18" t="n">
        <v>1</v>
      </c>
      <c r="C3" s="41" t="s">
        <v>44</v>
      </c>
      <c r="D3" s="41"/>
      <c r="E3" s="41"/>
      <c r="F3" s="42" t="s">
        <v>102</v>
      </c>
    </row>
    <row r="4" customFormat="false" ht="16.4" hidden="false" customHeight="true" outlineLevel="0" collapsed="false">
      <c r="B4" s="18" t="s">
        <v>25</v>
      </c>
      <c r="C4" s="71" t="s">
        <v>103</v>
      </c>
      <c r="D4" s="71"/>
      <c r="E4" s="71"/>
      <c r="F4" s="78" t="n">
        <v>220</v>
      </c>
    </row>
    <row r="5" customFormat="false" ht="16.4" hidden="false" customHeight="true" outlineLevel="0" collapsed="false">
      <c r="B5" s="18" t="s">
        <v>51</v>
      </c>
      <c r="C5" s="46" t="s">
        <v>104</v>
      </c>
      <c r="D5" s="46"/>
      <c r="E5" s="46"/>
      <c r="F5" s="79" t="n">
        <v>7</v>
      </c>
    </row>
    <row r="6" customFormat="false" ht="16.4" hidden="false" customHeight="true" outlineLevel="0" collapsed="false">
      <c r="B6" s="18" t="s">
        <v>53</v>
      </c>
      <c r="C6" s="71" t="s">
        <v>105</v>
      </c>
      <c r="D6" s="71"/>
      <c r="E6" s="71"/>
      <c r="F6" s="78" t="n">
        <v>365</v>
      </c>
    </row>
    <row r="7" customFormat="false" ht="16.4" hidden="false" customHeight="true" outlineLevel="0" collapsed="false">
      <c r="B7" s="18" t="s">
        <v>106</v>
      </c>
      <c r="C7" s="46" t="s">
        <v>107</v>
      </c>
      <c r="D7" s="46"/>
      <c r="E7" s="46"/>
      <c r="F7" s="80" t="n">
        <v>22</v>
      </c>
    </row>
    <row r="8" customFormat="false" ht="16.4" hidden="false" customHeight="true" outlineLevel="0" collapsed="false">
      <c r="B8" s="18" t="s">
        <v>108</v>
      </c>
      <c r="C8" s="71" t="s">
        <v>109</v>
      </c>
      <c r="D8" s="71"/>
      <c r="E8" s="71"/>
      <c r="F8" s="78" t="n">
        <v>12</v>
      </c>
    </row>
    <row r="9" customFormat="false" ht="16.4" hidden="false" customHeight="true" outlineLevel="0" collapsed="false">
      <c r="B9" s="18" t="s">
        <v>110</v>
      </c>
      <c r="C9" s="46" t="s">
        <v>111</v>
      </c>
      <c r="D9" s="46"/>
      <c r="E9" s="46"/>
      <c r="F9" s="79" t="n">
        <v>60</v>
      </c>
    </row>
    <row r="10" s="1" customFormat="true" ht="16.4" hidden="false" customHeight="true" outlineLevel="0" collapsed="false">
      <c r="B10" s="18" t="s">
        <v>112</v>
      </c>
      <c r="C10" s="71" t="s">
        <v>113</v>
      </c>
      <c r="D10" s="71"/>
      <c r="E10" s="71"/>
      <c r="F10" s="81" t="n">
        <v>52.5</v>
      </c>
    </row>
    <row r="11" s="48" customFormat="true" ht="16.5" hidden="false" customHeight="false" outlineLevel="0" collapsed="false"/>
    <row r="12" s="48" customFormat="true" ht="16.5" hidden="false" customHeight="false" outlineLevel="0" collapsed="false">
      <c r="A12" s="1"/>
      <c r="B12" s="39" t="s">
        <v>56</v>
      </c>
      <c r="C12" s="5"/>
      <c r="D12" s="5"/>
      <c r="E12" s="5"/>
      <c r="F12" s="5"/>
    </row>
    <row r="13" s="48" customFormat="true" ht="16.4" hidden="false" customHeight="true" outlineLevel="0" collapsed="false">
      <c r="A13" s="1"/>
      <c r="B13" s="18" t="s">
        <v>57</v>
      </c>
      <c r="C13" s="41" t="s">
        <v>58</v>
      </c>
      <c r="D13" s="41"/>
      <c r="E13" s="42" t="s">
        <v>59</v>
      </c>
      <c r="F13" s="42" t="s">
        <v>74</v>
      </c>
    </row>
    <row r="14" s="48" customFormat="true" ht="16.5" hidden="false" customHeight="false" outlineLevel="0" collapsed="false">
      <c r="B14" s="50" t="s">
        <v>19</v>
      </c>
      <c r="C14" s="10" t="s">
        <v>114</v>
      </c>
      <c r="D14" s="10"/>
      <c r="E14" s="52" t="s">
        <v>65</v>
      </c>
      <c r="F14" s="82" t="n">
        <v>6</v>
      </c>
    </row>
    <row r="15" s="48" customFormat="true" ht="16.5" hidden="false" customHeight="false" outlineLevel="0" collapsed="false"/>
    <row r="16" s="5" customFormat="true" ht="16.5" hidden="false" customHeight="false" outlineLevel="0" collapsed="false">
      <c r="A16" s="48"/>
      <c r="B16" s="39" t="s">
        <v>115</v>
      </c>
      <c r="C16" s="55"/>
      <c r="D16" s="56"/>
      <c r="E16" s="57"/>
      <c r="F16" s="57"/>
    </row>
    <row r="17" s="5" customFormat="true" ht="16.5" hidden="false" customHeight="false" outlineLevel="0" collapsed="false">
      <c r="A17" s="48"/>
      <c r="B17" s="18" t="n">
        <v>3</v>
      </c>
      <c r="C17" s="59" t="s">
        <v>116</v>
      </c>
      <c r="D17" s="59"/>
      <c r="E17" s="59"/>
      <c r="F17" s="42" t="s">
        <v>117</v>
      </c>
    </row>
    <row r="18" s="5" customFormat="true" ht="16.4" hidden="false" customHeight="true" outlineLevel="0" collapsed="false">
      <c r="A18" s="48"/>
      <c r="B18" s="18" t="s">
        <v>14</v>
      </c>
      <c r="C18" s="71" t="s">
        <v>118</v>
      </c>
      <c r="D18" s="71"/>
      <c r="E18" s="71"/>
      <c r="F18" s="83" t="n">
        <v>56.24</v>
      </c>
    </row>
    <row r="19" customFormat="false" ht="16.5" hidden="false" customHeight="false" outlineLevel="0" collapsed="false">
      <c r="A19" s="48"/>
      <c r="B19" s="42" t="s">
        <v>16</v>
      </c>
      <c r="C19" s="84" t="s">
        <v>119</v>
      </c>
      <c r="D19" s="84"/>
      <c r="E19" s="84"/>
      <c r="F19" s="85" t="n">
        <v>5.55</v>
      </c>
    </row>
    <row r="20" s="5" customFormat="true" ht="16.4" hidden="false" customHeight="true" outlineLevel="0" collapsed="false">
      <c r="B20" s="42" t="s">
        <v>19</v>
      </c>
      <c r="C20" s="71" t="s">
        <v>120</v>
      </c>
      <c r="D20" s="71"/>
      <c r="E20" s="71"/>
      <c r="F20" s="86" t="n">
        <v>40</v>
      </c>
    </row>
    <row r="21" customFormat="false" ht="16.4" hidden="false" customHeight="true" outlineLevel="0" collapsed="false">
      <c r="A21" s="48"/>
      <c r="B21" s="42" t="s">
        <v>22</v>
      </c>
      <c r="C21" s="71" t="s">
        <v>121</v>
      </c>
      <c r="D21" s="71"/>
      <c r="E21" s="71"/>
      <c r="F21" s="83" t="n">
        <v>94.45</v>
      </c>
    </row>
    <row r="22" customFormat="false" ht="16.5" hidden="false" customHeight="false" outlineLevel="0" collapsed="false">
      <c r="A22" s="48"/>
      <c r="B22" s="42" t="s">
        <v>25</v>
      </c>
      <c r="C22" s="84" t="s">
        <v>122</v>
      </c>
      <c r="D22" s="84"/>
      <c r="E22" s="84"/>
      <c r="F22" s="82" t="n">
        <v>30</v>
      </c>
    </row>
    <row r="23" s="48" customFormat="true" ht="16.5" hidden="false" customHeight="false" outlineLevel="0" collapsed="false"/>
    <row r="24" s="5" customFormat="true" ht="16.5" hidden="false" customHeight="false" outlineLevel="0" collapsed="false">
      <c r="B24" s="39" t="s">
        <v>70</v>
      </c>
      <c r="C24" s="55"/>
      <c r="D24" s="56"/>
      <c r="E24" s="1"/>
      <c r="F24" s="1"/>
    </row>
    <row r="25" s="5" customFormat="true" ht="16.5" hidden="false" customHeight="false" outlineLevel="0" collapsed="false">
      <c r="B25" s="39" t="s">
        <v>71</v>
      </c>
      <c r="C25" s="55"/>
      <c r="D25" s="56"/>
      <c r="E25" s="57"/>
      <c r="F25" s="57"/>
    </row>
    <row r="26" s="5" customFormat="true" ht="16.4" hidden="false" customHeight="true" outlineLevel="0" collapsed="false">
      <c r="B26" s="18" t="s">
        <v>72</v>
      </c>
      <c r="C26" s="41" t="s">
        <v>73</v>
      </c>
      <c r="D26" s="41"/>
      <c r="E26" s="41"/>
      <c r="F26" s="42" t="s">
        <v>117</v>
      </c>
    </row>
    <row r="27" s="5" customFormat="true" ht="16.4" hidden="false" customHeight="true" outlineLevel="0" collapsed="false">
      <c r="B27" s="18" t="s">
        <v>14</v>
      </c>
      <c r="C27" s="71" t="s">
        <v>123</v>
      </c>
      <c r="D27" s="71"/>
      <c r="E27" s="71"/>
      <c r="F27" s="86" t="n">
        <v>8</v>
      </c>
    </row>
    <row r="28" customFormat="false" ht="16.4" hidden="false" customHeight="true" outlineLevel="0" collapsed="false">
      <c r="A28" s="5"/>
      <c r="B28" s="42" t="s">
        <v>16</v>
      </c>
      <c r="C28" s="22" t="s">
        <v>124</v>
      </c>
      <c r="D28" s="22"/>
      <c r="E28" s="22"/>
      <c r="F28" s="82" t="n">
        <v>20</v>
      </c>
    </row>
    <row r="29" customFormat="false" ht="16.4" hidden="false" customHeight="true" outlineLevel="0" collapsed="false">
      <c r="A29" s="5"/>
      <c r="B29" s="42" t="s">
        <v>19</v>
      </c>
      <c r="C29" s="71" t="s">
        <v>125</v>
      </c>
      <c r="D29" s="71"/>
      <c r="E29" s="71"/>
      <c r="F29" s="83" t="n">
        <v>1.42</v>
      </c>
    </row>
    <row r="30" customFormat="false" ht="16.4" hidden="false" customHeight="true" outlineLevel="0" collapsed="false">
      <c r="A30" s="5"/>
      <c r="B30" s="42" t="s">
        <v>22</v>
      </c>
      <c r="C30" s="22" t="s">
        <v>126</v>
      </c>
      <c r="D30" s="22"/>
      <c r="E30" s="22"/>
      <c r="F30" s="85" t="n">
        <v>45.22</v>
      </c>
    </row>
    <row r="31" s="5" customFormat="true" ht="16.4" hidden="false" customHeight="true" outlineLevel="0" collapsed="false">
      <c r="A31" s="1"/>
      <c r="B31" s="42" t="s">
        <v>25</v>
      </c>
      <c r="C31" s="71" t="s">
        <v>127</v>
      </c>
      <c r="D31" s="71"/>
      <c r="E31" s="71"/>
      <c r="F31" s="83" t="n">
        <f aca="false">(154800/34808000)*100</f>
        <v>0.444725350494139</v>
      </c>
    </row>
    <row r="32" customFormat="false" ht="16.4" hidden="false" customHeight="true" outlineLevel="0" collapsed="false">
      <c r="A32" s="5"/>
      <c r="B32" s="42" t="s">
        <v>51</v>
      </c>
      <c r="C32" s="22" t="s">
        <v>128</v>
      </c>
      <c r="D32" s="22"/>
      <c r="E32" s="22"/>
      <c r="F32" s="82" t="n">
        <v>15</v>
      </c>
    </row>
    <row r="33" customFormat="false" ht="16.4" hidden="false" customHeight="true" outlineLevel="0" collapsed="false">
      <c r="A33" s="5"/>
      <c r="B33" s="42" t="s">
        <v>53</v>
      </c>
      <c r="C33" s="71" t="s">
        <v>129</v>
      </c>
      <c r="D33" s="71"/>
      <c r="E33" s="71"/>
      <c r="F33" s="86" t="n">
        <v>180</v>
      </c>
    </row>
    <row r="34" customFormat="false" ht="16.4" hidden="false" customHeight="true" outlineLevel="0" collapsed="false">
      <c r="A34" s="5"/>
      <c r="B34" s="42" t="s">
        <v>130</v>
      </c>
      <c r="C34" s="22" t="s">
        <v>131</v>
      </c>
      <c r="D34" s="22"/>
      <c r="E34" s="22"/>
      <c r="F34" s="85" t="n">
        <v>54.78</v>
      </c>
    </row>
    <row r="35" s="48" customFormat="true" ht="16.5" hidden="false" customHeight="false" outlineLevel="0" collapsed="false"/>
    <row r="36" customFormat="false" ht="16.5" hidden="false" customHeight="false" outlineLevel="0" collapsed="false">
      <c r="B36" s="39" t="s">
        <v>132</v>
      </c>
      <c r="C36" s="55"/>
      <c r="D36" s="56"/>
      <c r="E36" s="57"/>
      <c r="F36" s="57"/>
    </row>
    <row r="37" customFormat="false" ht="16.5" hidden="false" customHeight="false" outlineLevel="0" collapsed="false">
      <c r="B37" s="18" t="s">
        <v>77</v>
      </c>
      <c r="C37" s="59" t="s">
        <v>133</v>
      </c>
      <c r="D37" s="59"/>
      <c r="E37" s="59"/>
      <c r="F37" s="42" t="s">
        <v>134</v>
      </c>
    </row>
    <row r="38" customFormat="false" ht="16.4" hidden="false" customHeight="true" outlineLevel="0" collapsed="false">
      <c r="B38" s="18" t="s">
        <v>14</v>
      </c>
      <c r="C38" s="43" t="s">
        <v>80</v>
      </c>
      <c r="D38" s="43"/>
      <c r="E38" s="43"/>
      <c r="F38" s="78" t="n">
        <f aca="false">PERC_HORA_EXTRA</f>
        <v>0</v>
      </c>
    </row>
    <row r="39" customFormat="false" ht="16.4" hidden="false" customHeight="true" outlineLevel="0" collapsed="false">
      <c r="B39" s="18" t="s">
        <v>16</v>
      </c>
      <c r="C39" s="22" t="s">
        <v>81</v>
      </c>
      <c r="D39" s="22"/>
      <c r="E39" s="22"/>
      <c r="F39" s="79" t="n">
        <f aca="false">TEMPO_INTERVALO_REFEICAO</f>
        <v>0</v>
      </c>
    </row>
    <row r="40" s="48" customFormat="true" ht="16.5" hidden="false" customHeight="false" outlineLevel="0" collapsed="false"/>
    <row r="41" customFormat="false" ht="21" hidden="false" customHeight="false" outlineLevel="0" collapsed="false">
      <c r="B41" s="74" t="s">
        <v>99</v>
      </c>
      <c r="C41" s="75"/>
      <c r="D41" s="75"/>
      <c r="E41" s="75"/>
      <c r="F41" s="76"/>
    </row>
    <row r="42" customFormat="false" ht="31.25" hidden="false" customHeight="true" outlineLevel="0" collapsed="false">
      <c r="B42" s="77" t="s">
        <v>100</v>
      </c>
      <c r="C42" s="77"/>
      <c r="D42" s="77"/>
      <c r="E42" s="77"/>
      <c r="F42" s="77"/>
    </row>
  </sheetData>
  <mergeCells count="29">
    <mergeCell ref="C3:E3"/>
    <mergeCell ref="C4:E4"/>
    <mergeCell ref="C5:E5"/>
    <mergeCell ref="C6:E6"/>
    <mergeCell ref="C7:E7"/>
    <mergeCell ref="C8:E8"/>
    <mergeCell ref="C9:E9"/>
    <mergeCell ref="C10:E10"/>
    <mergeCell ref="C13:D13"/>
    <mergeCell ref="C14:D14"/>
    <mergeCell ref="C17:E17"/>
    <mergeCell ref="C18:E18"/>
    <mergeCell ref="C19:E19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7:E37"/>
    <mergeCell ref="C38:E38"/>
    <mergeCell ref="C39:E39"/>
    <mergeCell ref="B42:F42"/>
  </mergeCells>
  <dataValidations count="1">
    <dataValidation allowBlank="true" operator="between" prompt="Segundo estudos da Audin-MPU, esse item não é usual nas planilhas do MPU. Verifique se realmente há necessidade de incluí-lo." promptTitle="Intervalo Intrajornada" showDropDown="false" showErrorMessage="true" showInputMessage="true" sqref="F38:F39" type="none">
      <formula1>0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37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F26" activeCellId="1" sqref="F70:F71 F26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22.01"/>
    <col collapsed="false" customWidth="true" hidden="false" outlineLevel="0" max="5" min="5" style="1" width="13.55"/>
    <col collapsed="false" customWidth="true" hidden="false" outlineLevel="0" max="6" min="6" style="1" width="43.82"/>
    <col collapsed="false" customWidth="true" hidden="false" outlineLevel="0" max="7" min="7" style="1" width="51.73"/>
    <col collapsed="false" customWidth="true" hidden="false" outlineLevel="0" max="1025" min="8" style="1" width="9.09"/>
  </cols>
  <sheetData>
    <row r="1" s="5" customFormat="true" ht="25" hidden="false" customHeight="false" outlineLevel="0" collapsed="false">
      <c r="B1" s="38" t="s">
        <v>135</v>
      </c>
      <c r="C1" s="1"/>
      <c r="D1" s="1"/>
      <c r="E1" s="1"/>
      <c r="F1" s="1"/>
      <c r="G1" s="1"/>
    </row>
    <row r="2" customFormat="false" ht="16.5" hidden="false" customHeight="false" outlineLevel="0" collapsed="false">
      <c r="B2" s="39" t="s">
        <v>55</v>
      </c>
      <c r="E2" s="49"/>
    </row>
    <row r="3" customFormat="false" ht="16.5" hidden="false" customHeight="false" outlineLevel="0" collapsed="false">
      <c r="B3" s="39" t="s">
        <v>136</v>
      </c>
      <c r="C3" s="55"/>
      <c r="D3" s="56"/>
      <c r="E3" s="57"/>
    </row>
    <row r="4" customFormat="false" ht="16.5" hidden="false" customHeight="false" outlineLevel="0" collapsed="false">
      <c r="B4" s="18" t="s">
        <v>137</v>
      </c>
      <c r="C4" s="59" t="s">
        <v>138</v>
      </c>
      <c r="D4" s="59"/>
      <c r="E4" s="42" t="s">
        <v>74</v>
      </c>
      <c r="F4" s="42" t="s">
        <v>139</v>
      </c>
    </row>
    <row r="5" customFormat="false" ht="16.5" hidden="false" customHeight="true" outlineLevel="0" collapsed="false">
      <c r="B5" s="18" t="s">
        <v>14</v>
      </c>
      <c r="C5" s="71" t="s">
        <v>140</v>
      </c>
      <c r="D5" s="71"/>
      <c r="E5" s="87" t="n">
        <f aca="false">(1/MESES_NO_ANO)*100</f>
        <v>8.33333333333333</v>
      </c>
      <c r="F5" s="87" t="s">
        <v>141</v>
      </c>
    </row>
    <row r="6" customFormat="false" ht="16.5" hidden="false" customHeight="true" outlineLevel="0" collapsed="false">
      <c r="B6" s="42" t="s">
        <v>16</v>
      </c>
      <c r="C6" s="22" t="s">
        <v>142</v>
      </c>
      <c r="D6" s="22"/>
      <c r="E6" s="88" t="n">
        <f aca="false">(1/3)/MESES_NO_ANO*100</f>
        <v>2.77777777777778</v>
      </c>
      <c r="F6" s="88" t="s">
        <v>143</v>
      </c>
    </row>
    <row r="7" s="48" customFormat="true" ht="16.5" hidden="false" customHeight="true" outlineLevel="0" collapsed="false">
      <c r="B7" s="89" t="s">
        <v>144</v>
      </c>
      <c r="C7" s="89"/>
      <c r="D7" s="89"/>
      <c r="E7" s="89"/>
      <c r="F7" s="89"/>
    </row>
    <row r="8" s="48" customFormat="true" ht="34.5" hidden="false" customHeight="true" outlineLevel="0" collapsed="false">
      <c r="B8" s="18" t="s">
        <v>145</v>
      </c>
      <c r="C8" s="90" t="s">
        <v>146</v>
      </c>
      <c r="D8" s="90"/>
      <c r="E8" s="42" t="s">
        <v>74</v>
      </c>
    </row>
    <row r="9" customFormat="false" ht="16.5" hidden="false" customHeight="true" outlineLevel="0" collapsed="false">
      <c r="B9" s="18" t="s">
        <v>14</v>
      </c>
      <c r="C9" s="71" t="s">
        <v>147</v>
      </c>
      <c r="D9" s="71"/>
      <c r="E9" s="87" t="n">
        <v>20</v>
      </c>
    </row>
    <row r="10" s="5" customFormat="true" ht="16.5" hidden="false" customHeight="true" outlineLevel="0" collapsed="false">
      <c r="B10" s="42" t="s">
        <v>16</v>
      </c>
      <c r="C10" s="22" t="s">
        <v>148</v>
      </c>
      <c r="D10" s="22"/>
      <c r="E10" s="91" t="n">
        <v>2.5</v>
      </c>
    </row>
    <row r="11" s="5" customFormat="true" ht="16.5" hidden="false" customHeight="true" outlineLevel="0" collapsed="false">
      <c r="B11" s="42" t="s">
        <v>19</v>
      </c>
      <c r="C11" s="71" t="s">
        <v>149</v>
      </c>
      <c r="D11" s="71"/>
      <c r="E11" s="87" t="n">
        <v>3</v>
      </c>
    </row>
    <row r="12" s="5" customFormat="true" ht="16.5" hidden="false" customHeight="true" outlineLevel="0" collapsed="false">
      <c r="B12" s="42" t="s">
        <v>22</v>
      </c>
      <c r="C12" s="22" t="s">
        <v>150</v>
      </c>
      <c r="D12" s="22"/>
      <c r="E12" s="88" t="n">
        <v>1.5</v>
      </c>
    </row>
    <row r="13" s="5" customFormat="true" ht="16.5" hidden="false" customHeight="true" outlineLevel="0" collapsed="false">
      <c r="B13" s="42" t="s">
        <v>25</v>
      </c>
      <c r="C13" s="71" t="s">
        <v>151</v>
      </c>
      <c r="D13" s="71"/>
      <c r="E13" s="87" t="n">
        <v>1</v>
      </c>
    </row>
    <row r="14" s="5" customFormat="true" ht="16.5" hidden="false" customHeight="true" outlineLevel="0" collapsed="false">
      <c r="B14" s="42" t="s">
        <v>51</v>
      </c>
      <c r="C14" s="22" t="s">
        <v>152</v>
      </c>
      <c r="D14" s="22"/>
      <c r="E14" s="91" t="n">
        <v>0.6</v>
      </c>
    </row>
    <row r="15" s="5" customFormat="true" ht="16.5" hidden="false" customHeight="true" outlineLevel="0" collapsed="false">
      <c r="B15" s="42" t="s">
        <v>53</v>
      </c>
      <c r="C15" s="71" t="s">
        <v>153</v>
      </c>
      <c r="D15" s="71"/>
      <c r="E15" s="87" t="n">
        <v>0.2</v>
      </c>
    </row>
    <row r="16" customFormat="false" ht="16.5" hidden="false" customHeight="true" outlineLevel="0" collapsed="false">
      <c r="B16" s="42" t="s">
        <v>130</v>
      </c>
      <c r="C16" s="22" t="s">
        <v>154</v>
      </c>
      <c r="D16" s="22"/>
      <c r="E16" s="91" t="n">
        <v>8</v>
      </c>
    </row>
    <row r="17" customFormat="false" ht="16.5" hidden="false" customHeight="false" outlineLevel="0" collapsed="false">
      <c r="B17" s="59" t="s">
        <v>155</v>
      </c>
      <c r="C17" s="59"/>
      <c r="D17" s="59"/>
      <c r="E17" s="92" t="n">
        <f aca="false">SUM(E9:E16)</f>
        <v>36.8</v>
      </c>
    </row>
    <row r="18" s="48" customFormat="true" ht="16.5" hidden="false" customHeight="false" outlineLevel="0" collapsed="false">
      <c r="B18" s="39" t="s">
        <v>115</v>
      </c>
      <c r="C18" s="55"/>
      <c r="D18" s="56"/>
      <c r="E18" s="57"/>
    </row>
    <row r="19" s="48" customFormat="true" ht="15" hidden="false" customHeight="true" outlineLevel="0" collapsed="false">
      <c r="B19" s="18" t="n">
        <v>3</v>
      </c>
      <c r="C19" s="59" t="s">
        <v>116</v>
      </c>
      <c r="D19" s="59"/>
      <c r="E19" s="42" t="s">
        <v>74</v>
      </c>
      <c r="F19" s="42" t="s">
        <v>139</v>
      </c>
    </row>
    <row r="20" s="48" customFormat="true" ht="16.5" hidden="false" customHeight="false" outlineLevel="0" collapsed="false">
      <c r="B20" s="18" t="s">
        <v>14</v>
      </c>
      <c r="C20" s="93" t="s">
        <v>156</v>
      </c>
      <c r="D20" s="93"/>
      <c r="E20" s="87" t="n">
        <f aca="false">PERC_EMPREG_DEMIT_SEM_JUSTA_CAUSA_TOTAL_DESLIG%*PERC_EMPREG_AVISO_PREVIO_IND%*1/MESES_NO_ANO*100</f>
        <v>0.26011</v>
      </c>
      <c r="F20" s="87" t="s">
        <v>157</v>
      </c>
    </row>
    <row r="21" s="48" customFormat="true" ht="16.5" hidden="false" customHeight="false" outlineLevel="0" collapsed="false">
      <c r="B21" s="42" t="s">
        <v>16</v>
      </c>
      <c r="C21" s="94" t="s">
        <v>158</v>
      </c>
      <c r="D21" s="94"/>
      <c r="E21" s="91" t="n">
        <f aca="false">PERC_FGTS%*PERC_AVISO_PREVIO_IND</f>
        <v>0.0208088</v>
      </c>
      <c r="F21" s="88" t="s">
        <v>159</v>
      </c>
    </row>
    <row r="22" s="5" customFormat="true" ht="16.5" hidden="false" customHeight="false" outlineLevel="0" collapsed="false">
      <c r="B22" s="42" t="s">
        <v>19</v>
      </c>
      <c r="C22" s="93" t="s">
        <v>160</v>
      </c>
      <c r="D22" s="93"/>
      <c r="E22" s="87" t="n">
        <f aca="false">PERC_AVISO_PREVIO_IND%*(PERC_MULTA_FGTS%)*PERC_FGTS%*100</f>
        <v>0.00832352</v>
      </c>
      <c r="F22" s="87" t="s">
        <v>161</v>
      </c>
    </row>
    <row r="23" s="48" customFormat="true" ht="16.5" hidden="false" customHeight="false" outlineLevel="0" collapsed="false">
      <c r="B23" s="42" t="s">
        <v>22</v>
      </c>
      <c r="C23" s="94" t="s">
        <v>162</v>
      </c>
      <c r="D23" s="94"/>
      <c r="E23" s="91" t="n">
        <f aca="false">PERC_EMPREG_DEMIT_SEM_JUSTA_CAUSA_TOTAL_DESLIG%*PERC_EMPREG_AVISO_PREVIO_TRAB%*(DIAS_NA_SEMANA/DIAS_NO_MES)/MESES_NO_ANO*100</f>
        <v>1.03286322222222</v>
      </c>
      <c r="F23" s="88" t="s">
        <v>163</v>
      </c>
    </row>
    <row r="24" s="5" customFormat="true" ht="16.5" hidden="false" customHeight="false" outlineLevel="0" collapsed="false">
      <c r="B24" s="42" t="s">
        <v>25</v>
      </c>
      <c r="C24" s="93" t="s">
        <v>164</v>
      </c>
      <c r="D24" s="93"/>
      <c r="E24" s="87" t="n">
        <f aca="false">PERC_GPS_FGTS*PERC_AVISO_PREVIO_TRAB%</f>
        <v>0.380093665777778</v>
      </c>
      <c r="F24" s="87" t="s">
        <v>165</v>
      </c>
    </row>
    <row r="25" s="5" customFormat="true" ht="16.5" hidden="false" customHeight="false" outlineLevel="0" collapsed="false">
      <c r="B25" s="42" t="s">
        <v>51</v>
      </c>
      <c r="C25" s="94" t="s">
        <v>166</v>
      </c>
      <c r="D25" s="94"/>
      <c r="E25" s="91" t="n">
        <f aca="false">ROUNDUP(PERC_AVISO_PREVIO_TRAB%*(PERC_MULTA_FGTS%)*PERC_FGTS%*100,2)</f>
        <v>0.04</v>
      </c>
      <c r="F25" s="88" t="s">
        <v>167</v>
      </c>
    </row>
    <row r="26" s="5" customFormat="true" ht="16" hidden="false" customHeight="true" outlineLevel="0" collapsed="false">
      <c r="B26" s="39" t="s">
        <v>70</v>
      </c>
      <c r="C26" s="55"/>
      <c r="D26" s="56"/>
      <c r="E26" s="1"/>
    </row>
    <row r="27" s="5" customFormat="true" ht="16" hidden="false" customHeight="true" outlineLevel="0" collapsed="false">
      <c r="B27" s="39" t="s">
        <v>71</v>
      </c>
      <c r="C27" s="55"/>
      <c r="D27" s="56"/>
      <c r="E27" s="57"/>
    </row>
    <row r="28" s="5" customFormat="true" ht="16.5" hidden="false" customHeight="true" outlineLevel="0" collapsed="false">
      <c r="B28" s="18" t="s">
        <v>72</v>
      </c>
      <c r="C28" s="41" t="s">
        <v>73</v>
      </c>
      <c r="D28" s="41"/>
      <c r="E28" s="42" t="s">
        <v>74</v>
      </c>
      <c r="F28" s="42" t="s">
        <v>139</v>
      </c>
    </row>
    <row r="29" s="5" customFormat="true" ht="16" hidden="false" customHeight="true" outlineLevel="0" collapsed="false">
      <c r="B29" s="42" t="s">
        <v>14</v>
      </c>
      <c r="C29" s="71" t="s">
        <v>168</v>
      </c>
      <c r="D29" s="71"/>
      <c r="E29" s="87" t="n">
        <f aca="false">(1/MESES_NO_ANO)*100</f>
        <v>8.33333333333333</v>
      </c>
      <c r="F29" s="87" t="s">
        <v>169</v>
      </c>
    </row>
    <row r="30" s="5" customFormat="true" ht="16" hidden="false" customHeight="true" outlineLevel="0" collapsed="false">
      <c r="B30" s="42" t="s">
        <v>16</v>
      </c>
      <c r="C30" s="22" t="s">
        <v>170</v>
      </c>
      <c r="D30" s="22"/>
      <c r="E30" s="91" t="n">
        <f aca="false">(DIAS_AUSENCIAS_LEGAIS/DIAS_NO_MES)/MESES_NO_ANO*100</f>
        <v>2.22222222222222</v>
      </c>
      <c r="F30" s="88" t="s">
        <v>171</v>
      </c>
    </row>
    <row r="31" s="5" customFormat="true" ht="16" hidden="false" customHeight="true" outlineLevel="0" collapsed="false">
      <c r="B31" s="42" t="s">
        <v>19</v>
      </c>
      <c r="C31" s="71" t="s">
        <v>172</v>
      </c>
      <c r="D31" s="71"/>
      <c r="E31" s="87" t="n">
        <f aca="false">(((DIAS_LICENCA_PATERNIDADE/DIAS_NO_MES)/MESES_NO_ANO)*PERC_NASCIDOS_VIVOS_POPUL_FEM%*PERC_PARTIC_MASC_VIGIL%)*100</f>
        <v>0.0356735555555555</v>
      </c>
      <c r="F31" s="87" t="s">
        <v>173</v>
      </c>
    </row>
    <row r="32" s="5" customFormat="true" ht="16.5" hidden="false" customHeight="true" outlineLevel="0" collapsed="false">
      <c r="B32" s="42" t="s">
        <v>22</v>
      </c>
      <c r="C32" s="22" t="s">
        <v>174</v>
      </c>
      <c r="D32" s="22"/>
      <c r="E32" s="91" t="n">
        <f aca="false">(DIAS_PAGOS_EMPRESA_ACID_TRAB/DIAS_NO_MES)/MESES_NO_ANO*PERC_EMPREG_AFAST_TRAB%*100</f>
        <v>0.0185302229372558</v>
      </c>
      <c r="F32" s="88" t="s">
        <v>175</v>
      </c>
    </row>
    <row r="33" s="5" customFormat="true" ht="33" hidden="false" customHeight="true" outlineLevel="0" collapsed="false">
      <c r="B33" s="42" t="s">
        <v>25</v>
      </c>
      <c r="C33" s="71" t="s">
        <v>176</v>
      </c>
      <c r="D33" s="71"/>
      <c r="E33" s="87" t="n">
        <f aca="false">(((DIAS_LICENCA_MATERNIDADE/DIAS_NO_MES)/MESES_NO_ANO)*PERC_NASCIDOS_VIVOS_POPUL_FEM%*PERC_PARTIC_FEM_VIGIL%*PERC_GPS_FGTS%*100)</f>
        <v>0.143129184</v>
      </c>
      <c r="F33" s="87" t="s">
        <v>177</v>
      </c>
    </row>
    <row r="34" s="5" customFormat="true" ht="16.5" hidden="false" customHeight="false" outlineLevel="0" collapsed="false">
      <c r="B34" s="42" t="s">
        <v>51</v>
      </c>
      <c r="C34" s="22" t="str">
        <f aca="false">OUTRAS_AUSENCIAS_DESCRICAO</f>
        <v>Outras Ausências (Especificar - em %)</v>
      </c>
      <c r="D34" s="22"/>
      <c r="E34" s="91" t="n">
        <f aca="false">PERC_SUBSTITUTO_OUTRAS_AUSENCIAS</f>
        <v>0</v>
      </c>
      <c r="F34" s="88"/>
    </row>
    <row r="36" customFormat="false" ht="21" hidden="false" customHeight="false" outlineLevel="0" collapsed="false">
      <c r="B36" s="74" t="s">
        <v>99</v>
      </c>
    </row>
    <row r="37" customFormat="false" ht="42.75" hidden="false" customHeight="true" outlineLevel="0" collapsed="false">
      <c r="B37" s="77" t="s">
        <v>100</v>
      </c>
      <c r="C37" s="77"/>
      <c r="D37" s="77"/>
      <c r="E37" s="77"/>
      <c r="G37" s="95"/>
    </row>
  </sheetData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25:D25"/>
    <mergeCell ref="C28:D28"/>
    <mergeCell ref="C29:D29"/>
    <mergeCell ref="C31:D31"/>
    <mergeCell ref="C32:D32"/>
    <mergeCell ref="C33:D33"/>
    <mergeCell ref="C34:D34"/>
    <mergeCell ref="B37:E37"/>
  </mergeCells>
  <dataValidations count="2">
    <dataValidation allowBlank="true" error="O percentual do Aviso Prévio Indenizado deverá ser inferior a 0,64%, conforme determinou o Tribunal de Contas da União por meio do Acórdão nº 1.904/2007 - Plenário." errorTitle="Erro na inserção de dados." operator="between" showDropDown="false" showErrorMessage="true" showInputMessage="true" sqref="E20" type="decimal">
      <formula1>0</formula1>
      <formula2>0.46</formula2>
    </dataValidation>
    <dataValidation allowBlank="true" error="O percentual do Aviso Prévio Indenizado deverá ser inferior a 1,94%, conforme determinou o Tribunal de Contas da União por meio do Acórdão nº 1.904/2007 - Plenário." errorTitle="Erro na inserção de dados." operator="between" showDropDown="false" showErrorMessage="true" showInputMessage="true" sqref="E23" type="decimal">
      <formula1>0</formula1>
      <formula2>1.94</formula2>
    </dataValidation>
  </dataValidations>
  <printOptions headings="false" gridLines="false" gridLinesSet="true" horizontalCentered="false" verticalCentered="false"/>
  <pageMargins left="0.179861111111111" right="0.170138888888889" top="0.1" bottom="0.029861111111111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10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F12" activeCellId="1" sqref="F70:F71 F12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7.91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25" min="7" style="1" width="9.09"/>
  </cols>
  <sheetData>
    <row r="1" customFormat="false" ht="21" hidden="false" customHeight="false" outlineLevel="0" collapsed="false">
      <c r="B1" s="96" t="str">
        <f aca="false">RAMO</f>
        <v>RAMO: MINISTÉRIO PÚBLICO FEDERAL</v>
      </c>
      <c r="C1" s="96"/>
      <c r="D1" s="96"/>
      <c r="E1" s="96"/>
      <c r="F1" s="96"/>
    </row>
    <row r="2" customFormat="false" ht="21" hidden="false" customHeight="false" outlineLevel="0" collapsed="false">
      <c r="B2" s="97" t="str">
        <f aca="false">UG</f>
        <v>UNIDADE GESTORA (SIGLA): PR/AP</v>
      </c>
      <c r="C2" s="97"/>
      <c r="D2" s="97"/>
      <c r="E2" s="98" t="s">
        <v>2</v>
      </c>
      <c r="F2" s="99" t="str">
        <f aca="false">DATA_DO_ORCAMENTO_ESTIMATIVO</f>
        <v>XX/XX/2025</v>
      </c>
    </row>
    <row r="3" s="5" customFormat="true" ht="25" hidden="false" customHeight="false" outlineLevel="0" collapsed="false">
      <c r="B3" s="6" t="s">
        <v>178</v>
      </c>
      <c r="C3" s="6"/>
      <c r="D3" s="6"/>
      <c r="E3" s="6"/>
      <c r="F3" s="6"/>
    </row>
    <row r="4" s="5" customFormat="true" ht="16" hidden="false" customHeight="true" outlineLevel="0" collapsed="false">
      <c r="B4" s="7" t="s">
        <v>5</v>
      </c>
      <c r="C4" s="7"/>
      <c r="D4" s="7"/>
      <c r="E4" s="7"/>
      <c r="F4" s="7"/>
    </row>
    <row r="5" s="5" customFormat="true" ht="16" hidden="false" customHeight="true" outlineLevel="0" collapsed="false">
      <c r="B5" s="8" t="s">
        <v>6</v>
      </c>
      <c r="C5" s="8"/>
      <c r="D5" s="23" t="str">
        <f aca="false">NUMERO_PROCESSO</f>
        <v>1.22.000.000988/2024-16</v>
      </c>
      <c r="E5" s="23"/>
      <c r="F5" s="23"/>
    </row>
    <row r="6" s="5" customFormat="true" ht="15.75" hidden="false" customHeight="true" outlineLevel="0" collapsed="false">
      <c r="B6" s="10" t="s">
        <v>179</v>
      </c>
      <c r="C6" s="10"/>
      <c r="D6" s="100" t="str">
        <f aca="false">MODALIDADE_DE_LICITACAO</f>
        <v>Pregão nº</v>
      </c>
      <c r="E6" s="100"/>
      <c r="F6" s="101" t="str">
        <f aca="false">NUMERO_PREGAO</f>
        <v>XX/2025</v>
      </c>
    </row>
    <row r="7" s="5" customFormat="true" ht="15.75" hidden="false" customHeight="true" outlineLevel="0" collapsed="false">
      <c r="B7" s="102" t="s">
        <v>180</v>
      </c>
      <c r="C7" s="102"/>
      <c r="D7" s="102"/>
      <c r="E7" s="102"/>
      <c r="F7" s="102"/>
    </row>
    <row r="8" s="5" customFormat="true" ht="18" hidden="false" customHeight="true" outlineLevel="0" collapsed="false">
      <c r="B8" s="16" t="s">
        <v>14</v>
      </c>
      <c r="C8" s="8" t="s">
        <v>15</v>
      </c>
      <c r="D8" s="8"/>
      <c r="E8" s="8"/>
      <c r="F8" s="103" t="str">
        <f aca="false">DATA_APRESENTACAO_PROPOSTA</f>
        <v>XX/XX/2025</v>
      </c>
    </row>
    <row r="9" s="5" customFormat="true" ht="16" hidden="false" customHeight="true" outlineLevel="0" collapsed="false">
      <c r="B9" s="18" t="s">
        <v>16</v>
      </c>
      <c r="C9" s="19" t="s">
        <v>17</v>
      </c>
      <c r="D9" s="104" t="str">
        <f aca="false">IF(LOCAL_DE_EXECUCAO="","",LOCAL_DE_EXECUCAO)</f>
        <v>PRAP</v>
      </c>
      <c r="E9" s="104"/>
      <c r="F9" s="104"/>
    </row>
    <row r="10" s="5" customFormat="true" ht="18.75" hidden="false" customHeight="true" outlineLevel="0" collapsed="false">
      <c r="B10" s="16" t="s">
        <v>19</v>
      </c>
      <c r="C10" s="8" t="s">
        <v>181</v>
      </c>
      <c r="D10" s="8"/>
      <c r="E10" s="8"/>
      <c r="F10" s="105" t="str">
        <f aca="false">ACORDO_COLETIVO</f>
        <v>AP000003/2025</v>
      </c>
    </row>
    <row r="11" s="5" customFormat="true" ht="16" hidden="false" customHeight="true" outlineLevel="0" collapsed="false">
      <c r="B11" s="18" t="s">
        <v>22</v>
      </c>
      <c r="C11" s="84" t="s">
        <v>26</v>
      </c>
      <c r="D11" s="84"/>
      <c r="E11" s="84"/>
      <c r="F11" s="52" t="n">
        <f aca="false">NUMERO_MESES_EXEC_CONTRATUAL</f>
        <v>24</v>
      </c>
    </row>
    <row r="12" s="5" customFormat="true" ht="16.5" hidden="false" customHeight="false" outlineLevel="0" collapsed="false">
      <c r="B12" s="18" t="s">
        <v>25</v>
      </c>
      <c r="C12" s="106" t="s">
        <v>182</v>
      </c>
      <c r="D12" s="106"/>
      <c r="E12" s="106"/>
      <c r="F12" s="23" t="n">
        <f aca="false">IF(QTDE_POSTOS="","",QTDE_POSTOS)</f>
        <v>2</v>
      </c>
    </row>
    <row r="13" s="107" customFormat="true" ht="15" hidden="false" customHeight="true" outlineLevel="0" collapsed="false">
      <c r="B13" s="108" t="s">
        <v>42</v>
      </c>
      <c r="C13" s="109"/>
      <c r="D13" s="109"/>
      <c r="E13" s="109"/>
      <c r="F13" s="109"/>
    </row>
    <row r="14" s="5" customFormat="true" ht="16.5" hidden="false" customHeight="false" outlineLevel="0" collapsed="false">
      <c r="B14" s="16" t="n">
        <v>1</v>
      </c>
      <c r="C14" s="8" t="s">
        <v>183</v>
      </c>
      <c r="D14" s="8"/>
      <c r="E14" s="23" t="str">
        <f aca="false">IF(TIPO_DE_SERVICO="","",TIPO_DE_SERVICO)</f>
        <v>Manutenção Predial</v>
      </c>
      <c r="F14" s="23"/>
    </row>
    <row r="15" s="5" customFormat="true" ht="16.5" hidden="false" customHeight="false" outlineLevel="0" collapsed="false">
      <c r="B15" s="16" t="n">
        <v>2</v>
      </c>
      <c r="C15" s="32" t="s">
        <v>36</v>
      </c>
      <c r="D15" s="52" t="str">
        <f aca="false">IF(CBO="","",CBO)</f>
        <v>9143-05</v>
      </c>
      <c r="E15" s="52"/>
      <c r="F15" s="52"/>
    </row>
    <row r="16" s="5" customFormat="true" ht="15" hidden="false" customHeight="true" outlineLevel="0" collapsed="false">
      <c r="B16" s="16" t="n">
        <v>3</v>
      </c>
      <c r="C16" s="31" t="s">
        <v>38</v>
      </c>
      <c r="D16" s="23" t="str">
        <f aca="false">IF(CATEGORIA_PROFISSIONAL="","",CATEGORIA_PROFISSIONAL)</f>
        <v>Artífice</v>
      </c>
      <c r="E16" s="23"/>
      <c r="F16" s="23"/>
    </row>
    <row r="17" s="5" customFormat="true" ht="15" hidden="false" customHeight="true" outlineLevel="0" collapsed="false">
      <c r="B17" s="16" t="n">
        <v>4</v>
      </c>
      <c r="C17" s="10" t="s">
        <v>40</v>
      </c>
      <c r="D17" s="10"/>
      <c r="E17" s="10"/>
      <c r="F17" s="110" t="n">
        <f aca="false">DATA_BASE_CATEGORIA</f>
        <v>45658</v>
      </c>
    </row>
    <row r="18" s="111" customFormat="true" ht="20.25" hidden="false" customHeight="true" outlineLevel="0" collapsed="false">
      <c r="B18" s="112" t="s">
        <v>184</v>
      </c>
      <c r="C18" s="112"/>
      <c r="D18" s="112"/>
      <c r="E18" s="112"/>
      <c r="F18" s="112"/>
    </row>
    <row r="19" customFormat="false" ht="16.5" hidden="false" customHeight="false" outlineLevel="0" collapsed="false">
      <c r="B19" s="59" t="s">
        <v>185</v>
      </c>
      <c r="C19" s="59"/>
      <c r="D19" s="59"/>
      <c r="E19" s="59"/>
      <c r="F19" s="113" t="n">
        <f aca="false">IF(EMPREG_POR_POSTO="","",EMPREG_POR_POSTO)</f>
        <v>1</v>
      </c>
    </row>
    <row r="20" customFormat="false" ht="16.5" hidden="false" customHeight="false" outlineLevel="0" collapsed="false">
      <c r="B20" s="39" t="s">
        <v>43</v>
      </c>
      <c r="E20" s="40"/>
      <c r="F20" s="40"/>
    </row>
    <row r="21" customFormat="false" ht="16.5" hidden="false" customHeight="true" outlineLevel="0" collapsed="false">
      <c r="B21" s="18" t="n">
        <v>1</v>
      </c>
      <c r="C21" s="41" t="s">
        <v>44</v>
      </c>
      <c r="D21" s="41"/>
      <c r="E21" s="41"/>
      <c r="F21" s="42" t="s">
        <v>84</v>
      </c>
    </row>
    <row r="22" customFormat="false" ht="16.5" hidden="false" customHeight="true" outlineLevel="0" collapsed="false">
      <c r="B22" s="18" t="s">
        <v>14</v>
      </c>
      <c r="C22" s="43" t="s">
        <v>186</v>
      </c>
      <c r="D22" s="43"/>
      <c r="E22" s="43"/>
      <c r="F22" s="114" t="n">
        <f aca="false">SALARIO_BASE</f>
        <v>1876.12</v>
      </c>
    </row>
    <row r="23" customFormat="false" ht="16.5" hidden="false" customHeight="true" outlineLevel="0" collapsed="false">
      <c r="B23" s="18" t="s">
        <v>16</v>
      </c>
      <c r="C23" s="22" t="s">
        <v>187</v>
      </c>
      <c r="D23" s="22"/>
      <c r="E23" s="22"/>
      <c r="F23" s="115" t="n">
        <f aca="false">PERC_ADIC_PERIC%*SALARIO_BASE</f>
        <v>0</v>
      </c>
    </row>
    <row r="24" customFormat="false" ht="15.75" hidden="false" customHeight="true" outlineLevel="0" collapsed="false">
      <c r="B24" s="18" t="s">
        <v>19</v>
      </c>
      <c r="C24" s="116" t="s">
        <v>188</v>
      </c>
      <c r="D24" s="116"/>
      <c r="E24" s="116"/>
      <c r="F24" s="114" t="n">
        <f aca="false">((AL_1_A_SAL_BASE+AL_1_B_ADIC_PERIC)/DIVISOR_DE_HORAS)*DIAS_NA_SEMANA*MEDIA_ANUAL_DIAS_TRABALHO_MES*PERC_ADIC_NOT%</f>
        <v>0</v>
      </c>
    </row>
    <row r="25" customFormat="false" ht="15.75" hidden="false" customHeight="true" outlineLevel="0" collapsed="false">
      <c r="B25" s="18" t="s">
        <v>22</v>
      </c>
      <c r="C25" s="22" t="s">
        <v>189</v>
      </c>
      <c r="D25" s="22"/>
      <c r="E25" s="22"/>
      <c r="F25" s="115" t="n">
        <f aca="false">((AL_1_A_SAL_BASE+AL_1_B_ADIC_PERIC)/DIVISOR_DE_HORAS)*((HORA_NORMAL-HORA_NOTURNA)/HORA_NOTURNA)*DIAS_NA_SEMANA*MEDIA_ANUAL_DIAS_TRABALHO_MES*PERC_ADIC_NOT%</f>
        <v>0</v>
      </c>
    </row>
    <row r="26" customFormat="false" ht="15.75" hidden="false" customHeight="true" outlineLevel="0" collapsed="false">
      <c r="B26" s="18" t="s">
        <v>25</v>
      </c>
      <c r="C26" s="71" t="s">
        <v>190</v>
      </c>
      <c r="D26" s="71"/>
      <c r="E26" s="71"/>
      <c r="F26" s="114" t="n">
        <f aca="false">PERC_ADIC_INS%*SAL_MINIMO</f>
        <v>0</v>
      </c>
    </row>
    <row r="27" customFormat="false" ht="16.5" hidden="false" customHeight="false" outlineLevel="0" collapsed="false">
      <c r="B27" s="18" t="s">
        <v>51</v>
      </c>
      <c r="C27" s="46" t="str">
        <f aca="false">OUTROS_REMUNERACAO_1_DESCRICAO</f>
        <v>Outras Remunerações 1 (Especificar)</v>
      </c>
      <c r="D27" s="46"/>
      <c r="E27" s="46"/>
      <c r="F27" s="115" t="n">
        <f aca="false">OUTROS_REMUNERACAO_1</f>
        <v>0</v>
      </c>
    </row>
    <row r="28" customFormat="false" ht="16.5" hidden="false" customHeight="false" outlineLevel="0" collapsed="false">
      <c r="B28" s="18" t="s">
        <v>53</v>
      </c>
      <c r="C28" s="43" t="str">
        <f aca="false">OUTROS_REMUNERACAO_2_DESCRICAO</f>
        <v>Outras Remunerações 2 (Especificar)</v>
      </c>
      <c r="D28" s="43"/>
      <c r="E28" s="43"/>
      <c r="F28" s="114" t="n">
        <f aca="false">OUTROS_REMUNERACAO_2</f>
        <v>0</v>
      </c>
    </row>
    <row r="29" customFormat="false" ht="16.5" hidden="false" customHeight="false" outlineLevel="0" collapsed="false">
      <c r="B29" s="18" t="s">
        <v>130</v>
      </c>
      <c r="C29" s="46" t="str">
        <f aca="false">OUTROS_REMUNERACAO_3_DESCRICAO</f>
        <v>Outras Remunerações 3 (Especificar)</v>
      </c>
      <c r="D29" s="46"/>
      <c r="E29" s="46"/>
      <c r="F29" s="115" t="n">
        <f aca="false">OUTROS_REMUNERACAO_3</f>
        <v>0</v>
      </c>
    </row>
    <row r="30" customFormat="false" ht="16.5" hidden="false" customHeight="true" outlineLevel="0" collapsed="false">
      <c r="B30" s="41" t="s">
        <v>155</v>
      </c>
      <c r="C30" s="41"/>
      <c r="D30" s="41"/>
      <c r="E30" s="41"/>
      <c r="F30" s="117" t="n">
        <f aca="false">SUM(F22:F29)</f>
        <v>1876.12</v>
      </c>
    </row>
    <row r="31" customFormat="false" ht="16.5" hidden="false" customHeight="false" outlineLevel="0" collapsed="false">
      <c r="B31" s="39" t="s">
        <v>55</v>
      </c>
      <c r="E31" s="49"/>
      <c r="F31" s="49"/>
    </row>
    <row r="32" customFormat="false" ht="16.5" hidden="false" customHeight="false" outlineLevel="0" collapsed="false">
      <c r="B32" s="39" t="s">
        <v>136</v>
      </c>
      <c r="C32" s="55"/>
      <c r="D32" s="56"/>
      <c r="E32" s="57"/>
      <c r="F32" s="57"/>
    </row>
    <row r="33" customFormat="false" ht="16.5" hidden="false" customHeight="false" outlineLevel="0" collapsed="false">
      <c r="B33" s="18" t="s">
        <v>137</v>
      </c>
      <c r="C33" s="59" t="s">
        <v>138</v>
      </c>
      <c r="D33" s="59"/>
      <c r="E33" s="42" t="s">
        <v>74</v>
      </c>
      <c r="F33" s="42" t="s">
        <v>84</v>
      </c>
    </row>
    <row r="34" customFormat="false" ht="16.5" hidden="false" customHeight="true" outlineLevel="0" collapsed="false">
      <c r="B34" s="18" t="s">
        <v>14</v>
      </c>
      <c r="C34" s="71" t="s">
        <v>140</v>
      </c>
      <c r="D34" s="71"/>
      <c r="E34" s="87" t="n">
        <f aca="false">PERC_DEC_TERC</f>
        <v>8.33333333333333</v>
      </c>
      <c r="F34" s="83" t="n">
        <f aca="false">PERC_DEC_TERC%*MOD_1_REMUNERACAO</f>
        <v>156.343333333333</v>
      </c>
    </row>
    <row r="35" customFormat="false" ht="16.5" hidden="false" customHeight="true" outlineLevel="0" collapsed="false">
      <c r="B35" s="42" t="s">
        <v>16</v>
      </c>
      <c r="C35" s="22" t="s">
        <v>142</v>
      </c>
      <c r="D35" s="22"/>
      <c r="E35" s="88" t="n">
        <f aca="false">PERC_ADIC_FERIAS</f>
        <v>2.77777777777778</v>
      </c>
      <c r="F35" s="85" t="n">
        <f aca="false">PERC_ADIC_FERIAS%*MOD_1_REMUNERACAO</f>
        <v>52.1144444444444</v>
      </c>
    </row>
    <row r="36" s="48" customFormat="true" ht="16.5" hidden="false" customHeight="false" outlineLevel="0" collapsed="false">
      <c r="B36" s="59" t="s">
        <v>155</v>
      </c>
      <c r="C36" s="59"/>
      <c r="D36" s="59"/>
      <c r="E36" s="59"/>
      <c r="F36" s="118" t="n">
        <f aca="false">SUM(F34:F35)</f>
        <v>208.457777777778</v>
      </c>
    </row>
    <row r="37" s="48" customFormat="true" ht="31.5" hidden="false" customHeight="true" outlineLevel="0" collapsed="false">
      <c r="B37" s="119" t="s">
        <v>144</v>
      </c>
      <c r="C37" s="119"/>
      <c r="D37" s="119"/>
      <c r="E37" s="119"/>
      <c r="F37" s="119"/>
    </row>
    <row r="38" s="48" customFormat="true" ht="34.5" hidden="false" customHeight="true" outlineLevel="0" collapsed="false">
      <c r="B38" s="18" t="s">
        <v>145</v>
      </c>
      <c r="C38" s="90" t="s">
        <v>146</v>
      </c>
      <c r="D38" s="90"/>
      <c r="E38" s="42" t="s">
        <v>74</v>
      </c>
      <c r="F38" s="42" t="s">
        <v>84</v>
      </c>
    </row>
    <row r="39" customFormat="false" ht="16.5" hidden="false" customHeight="true" outlineLevel="0" collapsed="false">
      <c r="B39" s="18" t="s">
        <v>14</v>
      </c>
      <c r="C39" s="71" t="s">
        <v>147</v>
      </c>
      <c r="D39" s="71"/>
      <c r="E39" s="87" t="n">
        <f aca="false">PERC_INSS</f>
        <v>20</v>
      </c>
      <c r="F39" s="83" t="n">
        <f aca="false">PERC_INSS%*(MOD_1_REMUNERACAO+SUBMOD_2_1_DEC_TERC_ADIC_FERIAS)</f>
        <v>416.915555555556</v>
      </c>
    </row>
    <row r="40" s="5" customFormat="true" ht="16.5" hidden="false" customHeight="true" outlineLevel="0" collapsed="false">
      <c r="B40" s="42" t="s">
        <v>16</v>
      </c>
      <c r="C40" s="22" t="s">
        <v>148</v>
      </c>
      <c r="D40" s="22"/>
      <c r="E40" s="91" t="n">
        <f aca="false">PERC_SAL_EDUCACAO</f>
        <v>2.5</v>
      </c>
      <c r="F40" s="85" t="n">
        <f aca="false">PERC_SAL_EDUCACAO%*(MOD_1_REMUNERACAO+SUBMOD_2_1_DEC_TERC_ADIC_FERIAS)</f>
        <v>52.1144444444444</v>
      </c>
    </row>
    <row r="41" s="5" customFormat="true" ht="16.5" hidden="false" customHeight="true" outlineLevel="0" collapsed="false">
      <c r="B41" s="42" t="s">
        <v>19</v>
      </c>
      <c r="C41" s="71" t="s">
        <v>149</v>
      </c>
      <c r="D41" s="71"/>
      <c r="E41" s="87" t="n">
        <f aca="false">PERC_RAT</f>
        <v>3</v>
      </c>
      <c r="F41" s="83" t="n">
        <f aca="false">PERC_RAT%*(MOD_1_REMUNERACAO+SUBMOD_2_1_DEC_TERC_ADIC_FERIAS)</f>
        <v>62.5373333333333</v>
      </c>
    </row>
    <row r="42" s="5" customFormat="true" ht="16.5" hidden="false" customHeight="true" outlineLevel="0" collapsed="false">
      <c r="B42" s="42" t="s">
        <v>22</v>
      </c>
      <c r="C42" s="22" t="s">
        <v>150</v>
      </c>
      <c r="D42" s="22"/>
      <c r="E42" s="88" t="n">
        <f aca="false">PERC_SESC</f>
        <v>1.5</v>
      </c>
      <c r="F42" s="85" t="n">
        <f aca="false">PERC_SESC%*(MOD_1_REMUNERACAO+SUBMOD_2_1_DEC_TERC_ADIC_FERIAS)</f>
        <v>31.2686666666667</v>
      </c>
    </row>
    <row r="43" s="5" customFormat="true" ht="16.5" hidden="false" customHeight="true" outlineLevel="0" collapsed="false">
      <c r="B43" s="42" t="s">
        <v>25</v>
      </c>
      <c r="C43" s="71" t="s">
        <v>151</v>
      </c>
      <c r="D43" s="71"/>
      <c r="E43" s="87" t="n">
        <f aca="false">PERC_SENAC</f>
        <v>1</v>
      </c>
      <c r="F43" s="83" t="n">
        <f aca="false">PERC_SENAC%*(MOD_1_REMUNERACAO+SUBMOD_2_1_DEC_TERC_ADIC_FERIAS)</f>
        <v>20.8457777777778</v>
      </c>
    </row>
    <row r="44" s="5" customFormat="true" ht="16.5" hidden="false" customHeight="true" outlineLevel="0" collapsed="false">
      <c r="B44" s="42" t="s">
        <v>51</v>
      </c>
      <c r="C44" s="22" t="s">
        <v>152</v>
      </c>
      <c r="D44" s="22"/>
      <c r="E44" s="91" t="n">
        <f aca="false">PERC_SEBRAE</f>
        <v>0.6</v>
      </c>
      <c r="F44" s="85" t="n">
        <f aca="false">PERC_SEBRAE%*(MOD_1_REMUNERACAO+SUBMOD_2_1_DEC_TERC_ADIC_FERIAS)</f>
        <v>12.5074666666667</v>
      </c>
    </row>
    <row r="45" s="5" customFormat="true" ht="16.5" hidden="false" customHeight="true" outlineLevel="0" collapsed="false">
      <c r="B45" s="42" t="s">
        <v>53</v>
      </c>
      <c r="C45" s="71" t="s">
        <v>153</v>
      </c>
      <c r="D45" s="71"/>
      <c r="E45" s="87" t="n">
        <f aca="false">PERC_INCRA</f>
        <v>0.2</v>
      </c>
      <c r="F45" s="83" t="n">
        <f aca="false">PERC_INCRA%*(MOD_1_REMUNERACAO+SUBMOD_2_1_DEC_TERC_ADIC_FERIAS)</f>
        <v>4.16915555555556</v>
      </c>
    </row>
    <row r="46" customFormat="false" ht="16.5" hidden="false" customHeight="true" outlineLevel="0" collapsed="false">
      <c r="B46" s="42" t="s">
        <v>130</v>
      </c>
      <c r="C46" s="22" t="s">
        <v>154</v>
      </c>
      <c r="D46" s="22"/>
      <c r="E46" s="91" t="n">
        <f aca="false">PERC_FGTS</f>
        <v>8</v>
      </c>
      <c r="F46" s="85" t="n">
        <f aca="false">PERC_FGTS%*(MOD_1_REMUNERACAO+SUBMOD_2_1_DEC_TERC_ADIC_FERIAS)</f>
        <v>166.766222222222</v>
      </c>
    </row>
    <row r="47" customFormat="false" ht="16.5" hidden="false" customHeight="false" outlineLevel="0" collapsed="false">
      <c r="B47" s="59" t="s">
        <v>155</v>
      </c>
      <c r="C47" s="59"/>
      <c r="D47" s="59"/>
      <c r="E47" s="59"/>
      <c r="F47" s="120" t="n">
        <f aca="false">SUM(F39:F46)</f>
        <v>767.124622222222</v>
      </c>
    </row>
    <row r="48" customFormat="false" ht="15.75" hidden="false" customHeight="true" outlineLevel="0" collapsed="false">
      <c r="B48" s="39" t="s">
        <v>56</v>
      </c>
      <c r="C48" s="5"/>
      <c r="D48" s="5"/>
      <c r="E48" s="5"/>
      <c r="F48" s="5"/>
    </row>
    <row r="49" customFormat="false" ht="15.75" hidden="false" customHeight="true" outlineLevel="0" collapsed="false">
      <c r="B49" s="18" t="s">
        <v>57</v>
      </c>
      <c r="C49" s="41" t="s">
        <v>58</v>
      </c>
      <c r="D49" s="41"/>
      <c r="E49" s="41"/>
      <c r="F49" s="42" t="s">
        <v>84</v>
      </c>
    </row>
    <row r="50" customFormat="false" ht="16.4" hidden="false" customHeight="true" outlineLevel="0" collapsed="false">
      <c r="B50" s="16" t="s">
        <v>14</v>
      </c>
      <c r="C50" s="71" t="s">
        <v>61</v>
      </c>
      <c r="D50" s="71"/>
      <c r="E50" s="71"/>
      <c r="F50" s="83" t="n">
        <f aca="false">IF(((TRANSPORTE_POR_DIA*DIAS_TRABALHADOS_NO_MES)-(PERC_DESC_TRANSP_REMUNERACAO%*(AL_1_A_SAL_BASE)))&gt;0,((TRANSPORTE_POR_DIA*DIAS_TRABALHADOS_NO_MES)-(PERC_DESC_TRANSP_REMUNERACAO%*(AL_1_A_SAL_BASE))),0)</f>
        <v>50.2328</v>
      </c>
    </row>
    <row r="51" s="48" customFormat="true" ht="16.4" hidden="false" customHeight="true" outlineLevel="0" collapsed="false">
      <c r="B51" s="16" t="s">
        <v>16</v>
      </c>
      <c r="C51" s="22" t="s">
        <v>63</v>
      </c>
      <c r="D51" s="22"/>
      <c r="E51" s="22"/>
      <c r="F51" s="85" t="n">
        <f aca="false">ALIMENTACAO_POR_DIA*DIAS_TRABALHADOS_NO_MES</f>
        <v>594</v>
      </c>
    </row>
    <row r="52" s="48" customFormat="true" ht="16.5" hidden="false" customHeight="false" outlineLevel="0" collapsed="false">
      <c r="B52" s="16" t="s">
        <v>19</v>
      </c>
      <c r="C52" s="43" t="str">
        <f aca="false">OUTROS_BENEFICIOS_1_DESCRICAO</f>
        <v>Benefício Social (CCT, Cláusula 15ª)</v>
      </c>
      <c r="D52" s="43"/>
      <c r="E52" s="43"/>
      <c r="F52" s="83" t="n">
        <v>20.79</v>
      </c>
    </row>
    <row r="53" s="48" customFormat="true" ht="16.5" hidden="false" customHeight="false" outlineLevel="0" collapsed="false">
      <c r="B53" s="16" t="s">
        <v>22</v>
      </c>
      <c r="C53" s="46" t="str">
        <f aca="false">OUTROS_BENEFICIOS_2_DESCRICAO</f>
        <v>Outros Benefícios 2</v>
      </c>
      <c r="D53" s="46"/>
      <c r="E53" s="46"/>
      <c r="F53" s="85" t="n">
        <f aca="false">OUTROS_BENEFICIOS_2/MESES_NO_ANO</f>
        <v>0</v>
      </c>
    </row>
    <row r="54" s="48" customFormat="true" ht="16.5" hidden="false" customHeight="false" outlineLevel="0" collapsed="false">
      <c r="B54" s="16" t="s">
        <v>25</v>
      </c>
      <c r="C54" s="43" t="str">
        <f aca="false">OUTROS_BENEFICIOS_3_DESCRICAO</f>
        <v>Outros Benefícios 3</v>
      </c>
      <c r="D54" s="43"/>
      <c r="E54" s="43"/>
      <c r="F54" s="83" t="n">
        <f aca="false">OUTROS_BENEFICIOS_3</f>
        <v>0</v>
      </c>
    </row>
    <row r="55" s="48" customFormat="true" ht="16.4" hidden="false" customHeight="true" outlineLevel="0" collapsed="false">
      <c r="B55" s="16" t="s">
        <v>51</v>
      </c>
      <c r="C55" s="46" t="s">
        <v>191</v>
      </c>
      <c r="D55" s="46"/>
      <c r="E55" s="46"/>
      <c r="F55" s="85" t="n">
        <f aca="false">'INSERÇÃO-DE-DADOS'!F47/MESES_NO_ANO</f>
        <v>0</v>
      </c>
    </row>
    <row r="56" s="48" customFormat="true" ht="15" hidden="false" customHeight="true" outlineLevel="0" collapsed="false">
      <c r="B56" s="41" t="s">
        <v>155</v>
      </c>
      <c r="C56" s="41"/>
      <c r="D56" s="41"/>
      <c r="E56" s="41"/>
      <c r="F56" s="117" t="n">
        <f aca="false">SUM(F50:F55)</f>
        <v>665.0228</v>
      </c>
    </row>
    <row r="57" s="48" customFormat="true" ht="16.5" hidden="false" customHeight="false" outlineLevel="0" collapsed="false">
      <c r="B57" s="39" t="s">
        <v>115</v>
      </c>
      <c r="C57" s="55"/>
      <c r="D57" s="56"/>
      <c r="E57" s="57"/>
      <c r="F57" s="57"/>
    </row>
    <row r="58" s="48" customFormat="true" ht="15" hidden="false" customHeight="true" outlineLevel="0" collapsed="false">
      <c r="B58" s="18" t="n">
        <v>3</v>
      </c>
      <c r="C58" s="59" t="s">
        <v>116</v>
      </c>
      <c r="D58" s="59"/>
      <c r="E58" s="42" t="s">
        <v>74</v>
      </c>
      <c r="F58" s="42" t="s">
        <v>84</v>
      </c>
    </row>
    <row r="59" s="48" customFormat="true" ht="16.5" hidden="false" customHeight="false" outlineLevel="0" collapsed="false">
      <c r="B59" s="18" t="s">
        <v>14</v>
      </c>
      <c r="C59" s="93" t="s">
        <v>156</v>
      </c>
      <c r="D59" s="93"/>
      <c r="E59" s="87" t="n">
        <f aca="false">PERC_AVISO_PREVIO_IND</f>
        <v>0.26011</v>
      </c>
      <c r="F59" s="83" t="n">
        <f aca="false">PERC_AVISO_PREVIO_IND%*(MOD_1_REMUNERACAO+SUBMOD_2_1_DEC_TERC_ADIC_FERIAS+AL_2_2_FGTS+SUBMOD_2_3_BENEFICIOS)</f>
        <v>7.58576168348</v>
      </c>
    </row>
    <row r="60" s="48" customFormat="true" ht="16.5" hidden="false" customHeight="false" outlineLevel="0" collapsed="false">
      <c r="B60" s="42" t="s">
        <v>16</v>
      </c>
      <c r="C60" s="94" t="s">
        <v>158</v>
      </c>
      <c r="D60" s="94"/>
      <c r="E60" s="91" t="n">
        <f aca="false">PERC_FGTS_AVISO_PREV_IND</f>
        <v>0.0208088</v>
      </c>
      <c r="F60" s="85" t="n">
        <f aca="false">PERC_FGTS_AVISO_PREV_IND%*(MOD_1_REMUNERACAO+SUBMOD_2_1_DEC_TERC_ADIC_FERIAS)</f>
        <v>0.433775620622222</v>
      </c>
    </row>
    <row r="61" s="5" customFormat="true" ht="34.5" hidden="false" customHeight="true" outlineLevel="0" collapsed="false">
      <c r="B61" s="42" t="s">
        <v>19</v>
      </c>
      <c r="C61" s="93" t="s">
        <v>160</v>
      </c>
      <c r="D61" s="93"/>
      <c r="E61" s="87" t="n">
        <f aca="false">PERC_MULTA_FGTS_AV_PREV_IND</f>
        <v>0.00832352</v>
      </c>
      <c r="F61" s="83" t="n">
        <f aca="false">PERC_MULTA_FGTS_AV_PREV_IND%*(MOD_1_REMUNERACAO+SUBMOD_2_1_DEC_TERC_ADIC_FERIAS)</f>
        <v>0.173510248248889</v>
      </c>
    </row>
    <row r="62" s="48" customFormat="true" ht="16.5" hidden="false" customHeight="false" outlineLevel="0" collapsed="false">
      <c r="B62" s="42" t="s">
        <v>22</v>
      </c>
      <c r="C62" s="94" t="s">
        <v>162</v>
      </c>
      <c r="D62" s="94"/>
      <c r="E62" s="91" t="n">
        <f aca="false">PERC_AVISO_PREVIO_TRAB</f>
        <v>1.03286322222222</v>
      </c>
      <c r="F62" s="85" t="n">
        <f aca="false">PERC_AVISO_PREVIO_TRAB%*(MOD_1_REMUNERACAO+SUBMOD_2_1_DEC_TERC_ADIC_FERIAS+SUBMOD_2_2_GPS_FGTS+SUBMOD_2_3_BENEFICIOS)</f>
        <v>36.3229612174209</v>
      </c>
    </row>
    <row r="63" s="5" customFormat="true" ht="35.25" hidden="false" customHeight="true" outlineLevel="0" collapsed="false">
      <c r="B63" s="42" t="s">
        <v>25</v>
      </c>
      <c r="C63" s="93" t="s">
        <v>164</v>
      </c>
      <c r="D63" s="93"/>
      <c r="E63" s="87" t="n">
        <f aca="false">PERC_GPS_FGTS_AVISO_PREVIO_TRAB</f>
        <v>0.380093665777778</v>
      </c>
      <c r="F63" s="83" t="n">
        <f aca="false">PERC_GPS_FGTS_AVISO_PREVIO_TRAB%*(MOD_1_REMUNERACAO+SUBMOD_2_1_DEC_TERC_ADIC_FERIAS)</f>
        <v>7.92334809154449</v>
      </c>
    </row>
    <row r="64" s="5" customFormat="true" ht="32.25" hidden="false" customHeight="true" outlineLevel="0" collapsed="false">
      <c r="B64" s="42" t="s">
        <v>51</v>
      </c>
      <c r="C64" s="94" t="s">
        <v>166</v>
      </c>
      <c r="D64" s="94"/>
      <c r="E64" s="91" t="n">
        <f aca="false">PERC_MULTA_FGTS_AV_PREV_TRAB</f>
        <v>0.04</v>
      </c>
      <c r="F64" s="85" t="n">
        <f aca="false">PERC_MULTA_FGTS_AV_PREV_TRAB%*(MOD_1_REMUNERACAO+SUBMOD_2_1_DEC_TERC_ADIC_FERIAS)</f>
        <v>0.833831111111111</v>
      </c>
    </row>
    <row r="65" s="5" customFormat="true" ht="16.5" hidden="false" customHeight="false" outlineLevel="0" collapsed="false">
      <c r="B65" s="59" t="s">
        <v>155</v>
      </c>
      <c r="C65" s="59"/>
      <c r="D65" s="59"/>
      <c r="E65" s="59"/>
      <c r="F65" s="118" t="n">
        <f aca="false">SUM(F59:F64)</f>
        <v>53.2731879724276</v>
      </c>
    </row>
    <row r="66" customFormat="false" ht="7.5" hidden="false" customHeight="true" outlineLevel="0" collapsed="false">
      <c r="B66" s="121"/>
      <c r="D66" s="30"/>
      <c r="E66" s="40"/>
      <c r="F66" s="40"/>
    </row>
    <row r="67" s="5" customFormat="true" ht="16" hidden="false" customHeight="true" outlineLevel="0" collapsed="false">
      <c r="B67" s="39" t="s">
        <v>70</v>
      </c>
      <c r="C67" s="55"/>
      <c r="D67" s="56"/>
      <c r="E67" s="1"/>
      <c r="F67" s="1"/>
    </row>
    <row r="68" s="5" customFormat="true" ht="16" hidden="false" customHeight="true" outlineLevel="0" collapsed="false">
      <c r="B68" s="39" t="s">
        <v>71</v>
      </c>
      <c r="C68" s="55"/>
      <c r="D68" s="56"/>
      <c r="E68" s="57"/>
      <c r="F68" s="57"/>
    </row>
    <row r="69" s="5" customFormat="true" ht="16.5" hidden="false" customHeight="true" outlineLevel="0" collapsed="false">
      <c r="B69" s="18" t="s">
        <v>72</v>
      </c>
      <c r="C69" s="41" t="s">
        <v>73</v>
      </c>
      <c r="D69" s="41"/>
      <c r="E69" s="42" t="s">
        <v>74</v>
      </c>
      <c r="F69" s="42" t="s">
        <v>84</v>
      </c>
    </row>
    <row r="70" s="5" customFormat="true" ht="16" hidden="false" customHeight="true" outlineLevel="0" collapsed="false">
      <c r="B70" s="42" t="s">
        <v>14</v>
      </c>
      <c r="C70" s="71" t="s">
        <v>168</v>
      </c>
      <c r="D70" s="71"/>
      <c r="E70" s="87" t="n">
        <f aca="false">PERC_SUBSTITUTO_FERIAS</f>
        <v>8.33333333333333</v>
      </c>
      <c r="F70" s="83" t="n">
        <f aca="false">PERC_SUBSTITUTO_FERIAS%*(MOD_1_REMUNERACAO+MOD_2_ENCARGOS_BENEFICIOS+MOD_3_PROVISAO_RESCISAO)</f>
        <v>297.499865664369</v>
      </c>
    </row>
    <row r="71" s="5" customFormat="true" ht="16" hidden="false" customHeight="true" outlineLevel="0" collapsed="false">
      <c r="B71" s="42" t="s">
        <v>16</v>
      </c>
      <c r="C71" s="22" t="s">
        <v>170</v>
      </c>
      <c r="D71" s="22"/>
      <c r="E71" s="91" t="n">
        <f aca="false">PERC_SUBSTITUTO_AUSENCIAS_LEGAIS</f>
        <v>2.22222222222222</v>
      </c>
      <c r="F71" s="85" t="n">
        <f aca="false">PERC_SUBSTITUTO_AUSENCIAS_LEGAIS%*(MOD_1_REMUNERACAO+MOD_2_ENCARGOS_BENEFICIOS+MOD_3_PROVISAO_RESCISAO)</f>
        <v>79.3332975104984</v>
      </c>
    </row>
    <row r="72" s="5" customFormat="true" ht="16" hidden="false" customHeight="true" outlineLevel="0" collapsed="false">
      <c r="B72" s="42" t="s">
        <v>19</v>
      </c>
      <c r="C72" s="71" t="s">
        <v>172</v>
      </c>
      <c r="D72" s="71"/>
      <c r="E72" s="87" t="n">
        <f aca="false">PERC_SUBSTITUTO_LICENCA_PATERNIDADE</f>
        <v>0.0356735555555555</v>
      </c>
      <c r="F72" s="83" t="n">
        <f aca="false">PERC_SUBSTITUTO_LICENCA_PATERNIDADE%*(MOD_1_REMUNERACAO+MOD_2_ENCARGOS_BENEFICIOS+MOD_3_PROVISAO_RESCISAO)</f>
        <v>1.27354535826578</v>
      </c>
    </row>
    <row r="73" s="5" customFormat="true" ht="16.5" hidden="false" customHeight="true" outlineLevel="0" collapsed="false">
      <c r="B73" s="42" t="s">
        <v>22</v>
      </c>
      <c r="C73" s="22" t="s">
        <v>174</v>
      </c>
      <c r="D73" s="22"/>
      <c r="E73" s="91" t="n">
        <f aca="false">PERC_SUBSTITUTO_ACID_TRAB</f>
        <v>0.0185302229372558</v>
      </c>
      <c r="F73" s="85" t="n">
        <f aca="false">PERC_SUBSTITUTO_ACID_TRAB%*(MOD_1_REMUNERACAO+MOD_2_ENCARGOS_BENEFICIOS+MOD_3_PROVISAO_RESCISAO)</f>
        <v>0.661528660147729</v>
      </c>
    </row>
    <row r="74" s="5" customFormat="true" ht="16.5" hidden="false" customHeight="true" outlineLevel="0" collapsed="false">
      <c r="B74" s="42" t="s">
        <v>25</v>
      </c>
      <c r="C74" s="71" t="s">
        <v>176</v>
      </c>
      <c r="D74" s="71"/>
      <c r="E74" s="87" t="n">
        <f aca="false">PERC_SUBSTITUTO_AFAST_MATERN</f>
        <v>0.143129184</v>
      </c>
      <c r="F74" s="83" t="n">
        <f aca="false">PERC_SUBSTITUTO_AFAST_MATERN%*(MOD_1_REMUNERACAO+MOD_2_ENCARGOS_BENEFICIOS+MOD_3_PROVISAO_RESCISAO)</f>
        <v>5.10970956151809</v>
      </c>
    </row>
    <row r="75" s="5" customFormat="true" ht="16.5" hidden="false" customHeight="false" outlineLevel="0" collapsed="false">
      <c r="B75" s="42" t="s">
        <v>51</v>
      </c>
      <c r="C75" s="122" t="str">
        <f aca="false">OUTRAS_AUSENCIAS_DESCRICAO</f>
        <v>Outras Ausências (Especificar - em %)</v>
      </c>
      <c r="D75" s="122"/>
      <c r="E75" s="123" t="n">
        <f aca="false">PERC_SUBSTITUTO_OUTRAS_AUSENCIAS</f>
        <v>0</v>
      </c>
      <c r="F75" s="85" t="n">
        <f aca="false">PERC_SUBSTITUTO_OUTRAS_AUSENCIAS%*(MOD_1_REMUNERACAO+MOD_2_ENCARGOS_BENEFICIOS+MOD_3_PROVISAO_RESCISAO)</f>
        <v>0</v>
      </c>
    </row>
    <row r="76" s="5" customFormat="true" ht="16.5" hidden="false" customHeight="false" outlineLevel="0" collapsed="false">
      <c r="B76" s="59" t="s">
        <v>155</v>
      </c>
      <c r="C76" s="59"/>
      <c r="D76" s="59"/>
      <c r="E76" s="59"/>
      <c r="F76" s="118" t="n">
        <f aca="false">SUM(F70:F75)</f>
        <v>383.877946754799</v>
      </c>
    </row>
    <row r="77" s="5" customFormat="true" ht="15" hidden="false" customHeight="true" outlineLevel="0" collapsed="false">
      <c r="B77" s="39" t="s">
        <v>76</v>
      </c>
      <c r="C77" s="55"/>
      <c r="D77" s="56"/>
      <c r="E77" s="57"/>
      <c r="F77" s="57"/>
    </row>
    <row r="78" s="5" customFormat="true" ht="16.5" hidden="false" customHeight="false" outlineLevel="0" collapsed="false">
      <c r="B78" s="18" t="s">
        <v>77</v>
      </c>
      <c r="C78" s="59" t="s">
        <v>78</v>
      </c>
      <c r="D78" s="59"/>
      <c r="E78" s="59"/>
      <c r="F78" s="42" t="s">
        <v>84</v>
      </c>
    </row>
    <row r="79" s="5" customFormat="true" ht="16.5" hidden="false" customHeight="true" outlineLevel="0" collapsed="false">
      <c r="B79" s="18" t="s">
        <v>14</v>
      </c>
      <c r="C79" s="71" t="s">
        <v>192</v>
      </c>
      <c r="D79" s="71"/>
      <c r="E79" s="71"/>
      <c r="F79" s="114" t="n">
        <f aca="false">IF(DIAS_TRABALHADOS_NO_MES=15,((MOD_1_REMUNERACAO+MOD_2_ENCARGOS_BENEFICIOS+MOD_3_PROVISAO_RESCISAO)/DIVISOR_DE_HORAS)*((TEMPO_INTERVALO_REFEICAO/HORA_NORMAL)+PERC_HORA_EXTRA%)*DIAS_TRABALHADOS_NO_MES,0)</f>
        <v>0</v>
      </c>
    </row>
    <row r="80" s="5" customFormat="true" ht="16.5" hidden="false" customHeight="false" outlineLevel="0" collapsed="false">
      <c r="B80" s="59" t="s">
        <v>155</v>
      </c>
      <c r="C80" s="59"/>
      <c r="D80" s="59"/>
      <c r="E80" s="59"/>
      <c r="F80" s="118" t="n">
        <f aca="false">SUM(F79)</f>
        <v>0</v>
      </c>
    </row>
    <row r="81" customFormat="false" ht="7.5" hidden="false" customHeight="true" outlineLevel="0" collapsed="false">
      <c r="B81" s="121"/>
      <c r="D81" s="30"/>
      <c r="E81" s="40"/>
      <c r="F81" s="40"/>
    </row>
    <row r="82" customFormat="false" ht="16.5" hidden="false" customHeight="false" outlineLevel="0" collapsed="false">
      <c r="B82" s="39" t="s">
        <v>82</v>
      </c>
      <c r="C82" s="55"/>
      <c r="D82" s="55"/>
      <c r="E82" s="57"/>
      <c r="F82" s="57"/>
    </row>
    <row r="83" customFormat="false" ht="15.75" hidden="false" customHeight="true" outlineLevel="0" collapsed="false">
      <c r="B83" s="60" t="n">
        <v>5</v>
      </c>
      <c r="C83" s="61" t="s">
        <v>83</v>
      </c>
      <c r="D83" s="61"/>
      <c r="E83" s="61"/>
      <c r="F83" s="62" t="s">
        <v>84</v>
      </c>
    </row>
    <row r="84" customFormat="false" ht="16.5" hidden="false" customHeight="true" outlineLevel="0" collapsed="false">
      <c r="B84" s="63" t="s">
        <v>14</v>
      </c>
      <c r="C84" s="64" t="s">
        <v>85</v>
      </c>
      <c r="D84" s="64"/>
      <c r="E84" s="64"/>
      <c r="F84" s="124" t="n">
        <f aca="false">UNIFORMES</f>
        <v>28.7966666666667</v>
      </c>
    </row>
    <row r="85" customFormat="false" ht="16.5" hidden="false" customHeight="true" outlineLevel="0" collapsed="false">
      <c r="B85" s="63" t="s">
        <v>16</v>
      </c>
      <c r="C85" s="66" t="s">
        <v>86</v>
      </c>
      <c r="D85" s="66"/>
      <c r="E85" s="66"/>
      <c r="F85" s="125" t="n">
        <f aca="false">MATERIAIS</f>
        <v>0</v>
      </c>
    </row>
    <row r="86" customFormat="false" ht="16.5" hidden="false" customHeight="true" outlineLevel="0" collapsed="false">
      <c r="B86" s="63" t="s">
        <v>19</v>
      </c>
      <c r="C86" s="64" t="s">
        <v>87</v>
      </c>
      <c r="D86" s="64"/>
      <c r="E86" s="64"/>
      <c r="F86" s="124" t="n">
        <f aca="false">EQUIPAMENTOS</f>
        <v>0</v>
      </c>
    </row>
    <row r="87" customFormat="false" ht="16.5" hidden="false" customHeight="true" outlineLevel="0" collapsed="false">
      <c r="B87" s="63" t="s">
        <v>22</v>
      </c>
      <c r="C87" s="126" t="s">
        <v>88</v>
      </c>
      <c r="D87" s="126"/>
      <c r="E87" s="126"/>
      <c r="F87" s="125" t="n">
        <f aca="false">OUTROS_INSUMOS</f>
        <v>0</v>
      </c>
    </row>
    <row r="88" customFormat="false" ht="16.5" hidden="false" customHeight="true" outlineLevel="0" collapsed="false">
      <c r="B88" s="61" t="s">
        <v>155</v>
      </c>
      <c r="C88" s="61"/>
      <c r="D88" s="61"/>
      <c r="E88" s="61"/>
      <c r="F88" s="127" t="n">
        <f aca="false">SUM(F84:F87)</f>
        <v>28.7966666666667</v>
      </c>
    </row>
    <row r="89" customFormat="false" ht="7.5" hidden="false" customHeight="true" outlineLevel="0" collapsed="false">
      <c r="B89" s="121"/>
      <c r="D89" s="30"/>
      <c r="E89" s="40"/>
      <c r="F89" s="40"/>
    </row>
    <row r="90" customFormat="false" ht="15" hidden="false" customHeight="true" outlineLevel="0" collapsed="false">
      <c r="B90" s="69" t="s">
        <v>89</v>
      </c>
      <c r="C90" s="69"/>
      <c r="D90" s="69"/>
      <c r="E90" s="69"/>
      <c r="F90" s="69"/>
    </row>
    <row r="91" customFormat="false" ht="16.5" hidden="false" customHeight="false" outlineLevel="0" collapsed="false">
      <c r="B91" s="18" t="n">
        <v>6</v>
      </c>
      <c r="C91" s="59" t="s">
        <v>90</v>
      </c>
      <c r="D91" s="59"/>
      <c r="E91" s="42" t="s">
        <v>74</v>
      </c>
      <c r="F91" s="42" t="s">
        <v>84</v>
      </c>
    </row>
    <row r="92" customFormat="false" ht="16.5" hidden="false" customHeight="true" outlineLevel="0" collapsed="false">
      <c r="B92" s="18" t="s">
        <v>14</v>
      </c>
      <c r="C92" s="71" t="s">
        <v>91</v>
      </c>
      <c r="D92" s="71"/>
      <c r="E92" s="128" t="n">
        <f aca="false">PERC_CUSTOS_INDIRETOS</f>
        <v>4.73</v>
      </c>
      <c r="F92" s="83" t="n">
        <f aca="false">PERC_CUSTOS_INDIRETOS%*(MOD_1_REMUNERACAO+MOD_2_ENCARGOS_BENEFICIOS+MOD_3_PROVISAO_RESCISAO+MOD_4_CUSTO_REPOSICAO+MOD_5_INSUMOS)</f>
        <v>188.380432965931</v>
      </c>
    </row>
    <row r="93" customFormat="false" ht="15.75" hidden="false" customHeight="true" outlineLevel="0" collapsed="false">
      <c r="B93" s="42" t="s">
        <v>16</v>
      </c>
      <c r="C93" s="22" t="s">
        <v>92</v>
      </c>
      <c r="D93" s="22"/>
      <c r="E93" s="129" t="n">
        <f aca="false">PERC_LUCRO</f>
        <v>5.57</v>
      </c>
      <c r="F93" s="85" t="n">
        <f aca="false">PERC_LUCRO%*(MOD_1_REMUNERACAO+MOD_2_ENCARGOS_BENEFICIOS+MOD_3_PROVISAO_RESCISAO+MOD_4_CUSTO_REPOSICAO+MOD_5_INSUMOS+AL_6_A_CUSTOS_INDIRETOS)</f>
        <v>232.327676293842</v>
      </c>
    </row>
    <row r="94" customFormat="false" ht="16.5" hidden="false" customHeight="true" outlineLevel="0" collapsed="false">
      <c r="B94" s="42" t="s">
        <v>19</v>
      </c>
      <c r="C94" s="71" t="s">
        <v>193</v>
      </c>
      <c r="D94" s="71"/>
      <c r="E94" s="128" t="n">
        <f aca="false">SUM(E95:E97)</f>
        <v>8.65</v>
      </c>
      <c r="F94" s="83" t="n">
        <f aca="false">SUM(F95:F97)</f>
        <v>416.959459301086</v>
      </c>
    </row>
    <row r="95" customFormat="false" ht="15.75" hidden="false" customHeight="true" outlineLevel="0" collapsed="false">
      <c r="B95" s="73" t="s">
        <v>93</v>
      </c>
      <c r="C95" s="130" t="s">
        <v>94</v>
      </c>
      <c r="D95" s="130"/>
      <c r="E95" s="131" t="n">
        <f aca="false">PERC_PIS</f>
        <v>0.65</v>
      </c>
      <c r="F95" s="132" t="n">
        <f aca="false">((MOD_1_REMUNERACAO+MOD_2_ENCARGOS_BENEFICIOS+MOD_3_PROVISAO_RESCISAO+MOD_4_CUSTO_REPOSICAO+MOD_5_INSUMOS+AL_6_A_CUSTOS_INDIRETOS+AL_6_B_LUCRO)*PERC_PIS%)/(1-PERC_TRIBUTOS%)</f>
        <v>31.3322137047059</v>
      </c>
    </row>
    <row r="96" customFormat="false" ht="16.5" hidden="false" customHeight="true" outlineLevel="0" collapsed="false">
      <c r="B96" s="73" t="s">
        <v>95</v>
      </c>
      <c r="C96" s="133" t="s">
        <v>96</v>
      </c>
      <c r="D96" s="133"/>
      <c r="E96" s="134" t="n">
        <f aca="false">PERC_COFINS</f>
        <v>3</v>
      </c>
      <c r="F96" s="135" t="n">
        <f aca="false">((MOD_1_REMUNERACAO+MOD_2_ENCARGOS_BENEFICIOS+MOD_3_PROVISAO_RESCISAO+MOD_4_CUSTO_REPOSICAO+MOD_5_INSUMOS+AL_6_A_CUSTOS_INDIRETOS+AL_6_B_LUCRO)*PERC_COFINS%)/(1-PERC_TRIBUTOS%)</f>
        <v>144.610217098643</v>
      </c>
    </row>
    <row r="97" s="67" customFormat="true" ht="16.5" hidden="false" customHeight="true" outlineLevel="0" collapsed="false">
      <c r="B97" s="73" t="s">
        <v>97</v>
      </c>
      <c r="C97" s="130" t="s">
        <v>98</v>
      </c>
      <c r="D97" s="130"/>
      <c r="E97" s="131" t="n">
        <f aca="false">PERC_ISS</f>
        <v>5</v>
      </c>
      <c r="F97" s="132" t="n">
        <f aca="false">((MOD_1_REMUNERACAO+MOD_2_ENCARGOS_BENEFICIOS+MOD_3_PROVISAO_RESCISAO+MOD_4_CUSTO_REPOSICAO+MOD_5_INSUMOS+AL_6_A_CUSTOS_INDIRETOS+AL_6_B_LUCRO)*PERC_ISS%)/(1-PERC_TRIBUTOS%)</f>
        <v>241.017028497738</v>
      </c>
    </row>
    <row r="98" s="67" customFormat="true" ht="16.5" hidden="false" customHeight="false" outlineLevel="0" collapsed="false">
      <c r="B98" s="59" t="s">
        <v>155</v>
      </c>
      <c r="C98" s="59"/>
      <c r="D98" s="59"/>
      <c r="E98" s="59"/>
      <c r="F98" s="136" t="n">
        <f aca="false">AL_6_A_CUSTOS_INDIRETOS+AL_6_B_LUCRO+AL_6_C_TRIBUTOS</f>
        <v>837.667568560859</v>
      </c>
    </row>
    <row r="99" s="67" customFormat="true" ht="21" hidden="false" customHeight="false" outlineLevel="0" collapsed="false">
      <c r="B99" s="137" t="s">
        <v>194</v>
      </c>
      <c r="C99" s="138"/>
      <c r="D99" s="138"/>
      <c r="E99" s="138"/>
      <c r="F99" s="139"/>
    </row>
    <row r="100" s="68" customFormat="true" ht="16.5" hidden="false" customHeight="true" outlineLevel="0" collapsed="false">
      <c r="B100" s="42" t="s">
        <v>195</v>
      </c>
      <c r="C100" s="41" t="s">
        <v>196</v>
      </c>
      <c r="D100" s="41"/>
      <c r="E100" s="41"/>
      <c r="F100" s="42" t="s">
        <v>197</v>
      </c>
    </row>
    <row r="101" s="67" customFormat="true" ht="16.5" hidden="false" customHeight="true" outlineLevel="0" collapsed="false">
      <c r="B101" s="18" t="n">
        <v>1</v>
      </c>
      <c r="C101" s="71" t="s">
        <v>44</v>
      </c>
      <c r="D101" s="71"/>
      <c r="E101" s="71"/>
      <c r="F101" s="83" t="n">
        <f aca="false">MOD_1_REMUNERACAO</f>
        <v>1876.12</v>
      </c>
    </row>
    <row r="102" s="70" customFormat="true" ht="16.5" hidden="false" customHeight="true" outlineLevel="0" collapsed="false">
      <c r="B102" s="42" t="n">
        <v>2</v>
      </c>
      <c r="C102" s="22" t="s">
        <v>198</v>
      </c>
      <c r="D102" s="22"/>
      <c r="E102" s="22"/>
      <c r="F102" s="85" t="n">
        <f aca="false">MOD_2_ENCARGOS_BENEFICIOS</f>
        <v>1640.6052</v>
      </c>
    </row>
    <row r="103" s="70" customFormat="true" ht="16.5" hidden="false" customHeight="true" outlineLevel="0" collapsed="false">
      <c r="B103" s="42" t="n">
        <v>3</v>
      </c>
      <c r="C103" s="71" t="s">
        <v>116</v>
      </c>
      <c r="D103" s="71"/>
      <c r="E103" s="71"/>
      <c r="F103" s="83" t="n">
        <f aca="false">MOD_3_PROVISAO_RESCISAO</f>
        <v>53.2731879724276</v>
      </c>
    </row>
    <row r="104" s="70" customFormat="true" ht="16.5" hidden="false" customHeight="true" outlineLevel="0" collapsed="false">
      <c r="B104" s="42" t="n">
        <v>4</v>
      </c>
      <c r="C104" s="22" t="s">
        <v>199</v>
      </c>
      <c r="D104" s="22"/>
      <c r="E104" s="22"/>
      <c r="F104" s="85" t="n">
        <f aca="false">MOD_4_CUSTO_REPOSICAO</f>
        <v>383.877946754799</v>
      </c>
    </row>
    <row r="105" s="70" customFormat="true" ht="16.5" hidden="false" customHeight="true" outlineLevel="0" collapsed="false">
      <c r="B105" s="42" t="n">
        <v>5</v>
      </c>
      <c r="C105" s="71" t="s">
        <v>83</v>
      </c>
      <c r="D105" s="71"/>
      <c r="E105" s="71"/>
      <c r="F105" s="83" t="n">
        <f aca="false">MOD_5_INSUMOS</f>
        <v>28.7966666666667</v>
      </c>
    </row>
    <row r="106" s="70" customFormat="true" ht="16.5" hidden="false" customHeight="true" outlineLevel="0" collapsed="false">
      <c r="B106" s="42" t="n">
        <v>6</v>
      </c>
      <c r="C106" s="22" t="s">
        <v>90</v>
      </c>
      <c r="D106" s="22"/>
      <c r="E106" s="22"/>
      <c r="F106" s="85" t="n">
        <f aca="false">MOD_6_CUSTOS_IND_LUCRO_TRIB</f>
        <v>837.667568560859</v>
      </c>
    </row>
    <row r="107" customFormat="false" ht="16.5" hidden="false" customHeight="true" outlineLevel="0" collapsed="false">
      <c r="B107" s="41" t="s">
        <v>200</v>
      </c>
      <c r="C107" s="41"/>
      <c r="D107" s="41"/>
      <c r="E107" s="41"/>
      <c r="F107" s="136" t="n">
        <f aca="false">SUM(F101:F106)</f>
        <v>4820.34056995475</v>
      </c>
    </row>
    <row r="108" customFormat="false" ht="16.5" hidden="false" customHeight="true" outlineLevel="0" collapsed="false">
      <c r="B108" s="41" t="s">
        <v>201</v>
      </c>
      <c r="C108" s="41"/>
      <c r="D108" s="41"/>
      <c r="E108" s="41"/>
      <c r="F108" s="136" t="n">
        <f aca="false">VALOR_TOTAL_EMPREGADO*EMPREG_POR_POSTO</f>
        <v>4820.34056995475</v>
      </c>
    </row>
    <row r="109" customFormat="false" ht="16.5" hidden="false" customHeight="true" outlineLevel="0" collapsed="false">
      <c r="B109" s="41" t="s">
        <v>202</v>
      </c>
      <c r="C109" s="41"/>
      <c r="D109" s="41"/>
      <c r="E109" s="41"/>
      <c r="F109" s="136" t="n">
        <f aca="false">VALOR_TOTAL_EMPREGADO*EMPREG_POR_POSTO*QTDE_POSTOS</f>
        <v>9640.6811399095</v>
      </c>
    </row>
  </sheetData>
  <mergeCells count="98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C55:E55"/>
    <mergeCell ref="B56:E56"/>
    <mergeCell ref="C58:D58"/>
    <mergeCell ref="C59:D59"/>
    <mergeCell ref="C60:D60"/>
    <mergeCell ref="C61:D61"/>
    <mergeCell ref="C62:D62"/>
    <mergeCell ref="C63:D63"/>
    <mergeCell ref="C64:D64"/>
    <mergeCell ref="B65:E65"/>
    <mergeCell ref="C69:D69"/>
    <mergeCell ref="C70:D70"/>
    <mergeCell ref="C71:D71"/>
    <mergeCell ref="C72:D72"/>
    <mergeCell ref="C73:D73"/>
    <mergeCell ref="C74:D74"/>
    <mergeCell ref="C75:D75"/>
    <mergeCell ref="B76:E76"/>
    <mergeCell ref="C78:E78"/>
    <mergeCell ref="C79:E79"/>
    <mergeCell ref="B80:E80"/>
    <mergeCell ref="C83:E83"/>
    <mergeCell ref="C84:E84"/>
    <mergeCell ref="C85:E85"/>
    <mergeCell ref="C86:E86"/>
    <mergeCell ref="C87:E87"/>
    <mergeCell ref="B88:E88"/>
    <mergeCell ref="B90:F90"/>
    <mergeCell ref="C91:D91"/>
    <mergeCell ref="C92:D92"/>
    <mergeCell ref="C93:D93"/>
    <mergeCell ref="C94:D94"/>
    <mergeCell ref="C95:D95"/>
    <mergeCell ref="C96:D96"/>
    <mergeCell ref="C97:D97"/>
    <mergeCell ref="B98:E98"/>
    <mergeCell ref="C100:E100"/>
    <mergeCell ref="C101:E101"/>
    <mergeCell ref="C102:E102"/>
    <mergeCell ref="C103:E103"/>
    <mergeCell ref="C104:E104"/>
    <mergeCell ref="C105:E105"/>
    <mergeCell ref="C106:E106"/>
    <mergeCell ref="B107:E107"/>
    <mergeCell ref="B108:E108"/>
    <mergeCell ref="B109:E109"/>
  </mergeCells>
  <printOptions headings="false" gridLines="false" gridLinesSet="true" horizontalCentered="true" verticalCentered="false"/>
  <pageMargins left="0.0798611111111111" right="0.05" top="0.196527777777778" bottom="0.15763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0" activeCellId="1" sqref="F70:F71 F10"/>
    </sheetView>
  </sheetViews>
  <sheetFormatPr defaultRowHeight="12.5" zeroHeight="false" outlineLevelRow="0" outlineLevelCol="0"/>
  <cols>
    <col collapsed="false" customWidth="false" hidden="false" outlineLevel="0" max="2" min="1" style="0" width="11.54"/>
    <col collapsed="false" customWidth="true" hidden="false" outlineLevel="0" max="3" min="3" style="0" width="53.99"/>
    <col collapsed="false" customWidth="true" hidden="false" outlineLevel="0" max="6" min="4" style="0" width="13.45"/>
    <col collapsed="false" customWidth="false" hidden="false" outlineLevel="0" max="1025" min="7" style="0" width="11.54"/>
  </cols>
  <sheetData>
    <row r="2" customFormat="false" ht="16.5" hidden="false" customHeight="false" outlineLevel="0" collapsed="false">
      <c r="B2" s="140" t="s">
        <v>203</v>
      </c>
    </row>
    <row r="4" customFormat="false" ht="16.5" hidden="false" customHeight="false" outlineLevel="0" collapsed="false">
      <c r="B4" s="141" t="s">
        <v>204</v>
      </c>
      <c r="C4" s="141" t="s">
        <v>205</v>
      </c>
      <c r="D4" s="141" t="s">
        <v>206</v>
      </c>
      <c r="E4" s="141" t="s">
        <v>207</v>
      </c>
      <c r="F4" s="141" t="s">
        <v>208</v>
      </c>
    </row>
    <row r="5" customFormat="false" ht="33" hidden="false" customHeight="false" outlineLevel="0" collapsed="false">
      <c r="B5" s="16" t="n">
        <v>1</v>
      </c>
      <c r="C5" s="142" t="s">
        <v>209</v>
      </c>
      <c r="D5" s="143" t="n">
        <v>8</v>
      </c>
      <c r="E5" s="144" t="n">
        <v>41</v>
      </c>
      <c r="F5" s="144" t="n">
        <f aca="false">D5*E5</f>
        <v>328</v>
      </c>
    </row>
    <row r="6" customFormat="false" ht="16.5" hidden="false" customHeight="false" outlineLevel="0" collapsed="false">
      <c r="B6" s="16" t="n">
        <v>2</v>
      </c>
      <c r="C6" s="145" t="s">
        <v>210</v>
      </c>
      <c r="D6" s="104" t="n">
        <v>8</v>
      </c>
      <c r="E6" s="146" t="n">
        <v>19.67</v>
      </c>
      <c r="F6" s="146" t="n">
        <f aca="false">D6*E6</f>
        <v>157.36</v>
      </c>
    </row>
    <row r="7" customFormat="false" ht="37" hidden="false" customHeight="true" outlineLevel="0" collapsed="false">
      <c r="B7" s="16" t="n">
        <v>3</v>
      </c>
      <c r="C7" s="147" t="s">
        <v>211</v>
      </c>
      <c r="D7" s="143" t="n">
        <v>4</v>
      </c>
      <c r="E7" s="144" t="n">
        <v>45.44</v>
      </c>
      <c r="F7" s="144" t="n">
        <f aca="false">D7*E7</f>
        <v>181.76</v>
      </c>
    </row>
    <row r="8" customFormat="false" ht="20.5" hidden="false" customHeight="true" outlineLevel="0" collapsed="false">
      <c r="B8" s="16" t="n">
        <v>4</v>
      </c>
      <c r="C8" s="148" t="s">
        <v>212</v>
      </c>
      <c r="D8" s="104" t="n">
        <v>8</v>
      </c>
      <c r="E8" s="146" t="n">
        <v>3</v>
      </c>
      <c r="F8" s="146" t="n">
        <f aca="false">D8*E8</f>
        <v>24</v>
      </c>
    </row>
    <row r="9" customFormat="false" ht="16.4" hidden="false" customHeight="true" outlineLevel="0" collapsed="false">
      <c r="B9" s="41" t="s">
        <v>213</v>
      </c>
      <c r="C9" s="41"/>
      <c r="D9" s="41"/>
      <c r="E9" s="41"/>
      <c r="F9" s="149" t="n">
        <f aca="false">SUM(F5:F8)</f>
        <v>691.12</v>
      </c>
    </row>
    <row r="10" customFormat="false" ht="16.4" hidden="false" customHeight="true" outlineLevel="0" collapsed="false">
      <c r="B10" s="41" t="s">
        <v>214</v>
      </c>
      <c r="C10" s="41"/>
      <c r="D10" s="41"/>
      <c r="E10" s="41"/>
      <c r="F10" s="149" t="n">
        <f aca="false">F9/24</f>
        <v>28.7966666666667</v>
      </c>
    </row>
  </sheetData>
  <mergeCells count="2">
    <mergeCell ref="B9:E9"/>
    <mergeCell ref="B10:E1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LibreOffice/5.4.1.2$Windows_x86 LibreOffice_project/ea7cb86e6eeb2bf3a5af73a8f7777ac570321527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2014-02-07T18:14:59Z</dcterms:created>
  <dc:creator>André Felipe Flores da Silva</dc:creator>
  <dc:description/>
  <dc:language>pt-BR</dc:language>
  <cp:lastModifiedBy/>
  <cp:lastPrinted>2019-08-28T14:06:04Z</cp:lastPrinted>
  <dcterms:modified xsi:type="dcterms:W3CDTF">2025-08-12T18:59:02Z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