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Vigilante" sheetId="1" r:id="rId1"/>
    <sheet name="Servente-Encarregado" sheetId="2" r:id="rId2"/>
    <sheet name="Copeira" sheetId="3" r:id="rId3"/>
    <sheet name="Garçom" sheetId="4" r:id="rId4"/>
    <sheet name="Recepcionista" sheetId="5" r:id="rId5"/>
    <sheet name="Outras Modalidades" sheetId="6" r:id="rId6"/>
  </sheets>
  <definedNames>
    <definedName name="_xlnm.Print_Area" localSheetId="2">'Copeira'!$B$1:$C$72</definedName>
    <definedName name="_xlnm.Print_Area" localSheetId="3">'Garçom'!$B$1:$C$66</definedName>
    <definedName name="_xlnm.Print_Area" localSheetId="5">'Outras Modalidades'!$B$1:$C$72</definedName>
    <definedName name="_xlnm.Print_Area" localSheetId="4">'Recepcionista'!$B$1:$C$66</definedName>
    <definedName name="Excel_BuiltIn_Print_Area_1">"$#REF!.$B$1:$E$94"</definedName>
    <definedName name="Excel_BuiltIn_Print_Area_2">"$#REF!.$B$1:$C$71"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D5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>Adicional noturno calculado com base no valor da hora estipulada na convenção  coletiva de trabalho, considerando como horas noturnas as compreendidas entre 22:00 h e 5:00 h. A hora do trabalho noturno será computada como de 52 (cinquenta e dois) minutos e 30 (trinta) segundos,desde que a convenção coletiva de trabalho não disponha de forma diferente.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 Intrajornada - equivale ao custo de uma hora extra. Portanto, informar o percentual definido na CCT a ser aplicado sobre o valor da hora normal.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 xml:space="preserve">Não integra a remuneração e sobre o qual não há incidência de encargos sociais.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>O número de funcionários será sempre 2 nos postos de 12x36 h e 1 nos de 44 h semanais.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>Valor definido em pesquisa elaborada pela AUDIN/MPU, considerando o fornecimento de 2 conjuntos por semestre.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>Informar o valor correspondente a duas passagens para os dias trabalhados.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>Inserir o valor de outros insumos, desde que constem do projeto básico ou da convenção coletiva de trabalho.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>Valor definido em pesquisa elaborada pela AUDIN/MPU, sendo aplicável somente para postos de vigilância armada.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Informar os percentuais correspondentes às alíquotas de retenção previstas nas INSRF nºs 480/2004, alterada pela de nº 539, de  25/04/2005. Quanto ao ISS utilizar a alíquota prevista na legislação municipal onde os serviços serão prestados.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27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38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1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Informar o número de empregados da categoria previsto no projeto básico.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<sst xmlns="http://schemas.openxmlformats.org/spreadsheetml/2006/main" count="553" uniqueCount="237">
  <si>
    <t>ENTRADA DE DADOS</t>
  </si>
  <si>
    <t>Posto 12x36h Noturno</t>
  </si>
  <si>
    <t>Posto 12x36h  Diurno</t>
  </si>
  <si>
    <t>Posto 44 h</t>
  </si>
  <si>
    <t>REMUNERAÇÃO CONFORME ACORDO COLETIVO DA CATEGORIA</t>
  </si>
  <si>
    <t>DATA BASE DA CATEGORIA(dia/mês/ano):_01/janeiro/2011 – AP000064/2010</t>
  </si>
  <si>
    <r>
      <t xml:space="preserve">Valor do salário do vigilante </t>
    </r>
    <r>
      <rPr>
        <b/>
        <sz val="10"/>
        <rFont val="Arial"/>
        <family val="2"/>
      </rPr>
      <t>(1)</t>
    </r>
  </si>
  <si>
    <r>
      <t xml:space="preserve">Valor do adicional noturno  </t>
    </r>
    <r>
      <rPr>
        <b/>
        <sz val="10"/>
        <rFont val="Arial"/>
        <family val="2"/>
      </rPr>
      <t>(2)</t>
    </r>
  </si>
  <si>
    <r>
      <t xml:space="preserve">Valor do adicional de assiduidade </t>
    </r>
    <r>
      <rPr>
        <b/>
        <sz val="10"/>
        <rFont val="Arial"/>
        <family val="2"/>
      </rPr>
      <t>(3.1)</t>
    </r>
  </si>
  <si>
    <r>
      <t xml:space="preserve">Percentual para cálculo do adicional de intrajornada </t>
    </r>
    <r>
      <rPr>
        <b/>
        <sz val="10"/>
        <rFont val="Arial"/>
        <family val="2"/>
      </rPr>
      <t>(3.2)</t>
    </r>
  </si>
  <si>
    <r>
      <t xml:space="preserve">Percentual do adicional de risco de vida </t>
    </r>
    <r>
      <rPr>
        <b/>
        <sz val="10"/>
        <rFont val="Arial"/>
        <family val="2"/>
      </rPr>
      <t>(3.3)</t>
    </r>
  </si>
  <si>
    <r>
      <t xml:space="preserve">Outros adicionais (especificar)   </t>
    </r>
    <r>
      <rPr>
        <b/>
        <sz val="10"/>
        <rFont val="Arial"/>
        <family val="2"/>
      </rPr>
      <t>(3.4)</t>
    </r>
  </si>
  <si>
    <r>
      <t xml:space="preserve">Quantidade de empregados por postos </t>
    </r>
    <r>
      <rPr>
        <b/>
        <sz val="10"/>
        <rFont val="Arial"/>
        <family val="2"/>
      </rPr>
      <t>(4)</t>
    </r>
  </si>
  <si>
    <t>Quantidade de postos</t>
  </si>
  <si>
    <t>INSUMOS DE MÃO-DE-OBRA</t>
  </si>
  <si>
    <r>
      <t>Valor do uniforme</t>
    </r>
    <r>
      <rPr>
        <b/>
        <sz val="10"/>
        <rFont val="Arial"/>
        <family val="2"/>
      </rPr>
      <t xml:space="preserve"> (5)</t>
    </r>
  </si>
  <si>
    <r>
      <t xml:space="preserve">Valor do vale transporte  </t>
    </r>
    <r>
      <rPr>
        <b/>
        <sz val="10"/>
        <rFont val="Arial"/>
        <family val="2"/>
      </rPr>
      <t>(6)</t>
    </r>
  </si>
  <si>
    <r>
      <t xml:space="preserve">Valor do auxílio-alimentação </t>
    </r>
    <r>
      <rPr>
        <b/>
        <sz val="10"/>
        <rFont val="Arial"/>
        <family val="2"/>
      </rPr>
      <t>(7)</t>
    </r>
  </si>
  <si>
    <r>
      <t xml:space="preserve">Valor da assistência médica-odontológica </t>
    </r>
    <r>
      <rPr>
        <b/>
        <sz val="10"/>
        <rFont val="Arial"/>
        <family val="2"/>
      </rPr>
      <t>(8)</t>
    </r>
  </si>
  <si>
    <r>
      <t xml:space="preserve">Valor do seguro de vida em grupo </t>
    </r>
    <r>
      <rPr>
        <b/>
        <sz val="10"/>
        <rFont val="Arial"/>
        <family val="2"/>
      </rPr>
      <t>(8)</t>
    </r>
  </si>
  <si>
    <r>
      <t xml:space="preserve">Percentual para cálculo do auxílio funeral </t>
    </r>
    <r>
      <rPr>
        <b/>
        <sz val="10"/>
        <rFont val="Arial"/>
        <family val="2"/>
      </rPr>
      <t>(9)</t>
    </r>
  </si>
  <si>
    <r>
      <t xml:space="preserve">Valor de outros custos (especificar) </t>
    </r>
    <r>
      <rPr>
        <b/>
        <sz val="10"/>
        <rFont val="Arial"/>
        <family val="2"/>
      </rPr>
      <t>(10)</t>
    </r>
  </si>
  <si>
    <t xml:space="preserve">INSUMOS DIVERSOS </t>
  </si>
  <si>
    <r>
      <t xml:space="preserve">Valor dos equipamentos </t>
    </r>
    <r>
      <rPr>
        <b/>
        <sz val="10"/>
        <rFont val="Arial"/>
        <family val="2"/>
      </rPr>
      <t>(11)</t>
    </r>
  </si>
  <si>
    <t>TRIBUTOS</t>
  </si>
  <si>
    <r>
      <t xml:space="preserve">Informar o percentual do ISSQN do município  </t>
    </r>
    <r>
      <rPr>
        <b/>
        <sz val="10"/>
        <rFont val="Arial"/>
        <family val="2"/>
      </rPr>
      <t>(14)</t>
    </r>
  </si>
  <si>
    <t xml:space="preserve"> PLANILHA DE CUSTOS</t>
  </si>
  <si>
    <t xml:space="preserve"> Vigilância Armada/Desarmada</t>
  </si>
  <si>
    <t>em R$</t>
  </si>
  <si>
    <t xml:space="preserve"> </t>
  </si>
  <si>
    <t>Descrição do Item</t>
  </si>
  <si>
    <t>Posto  12x36 h Noturno</t>
  </si>
  <si>
    <t>Posto  12x36 h Diurno</t>
  </si>
  <si>
    <t>Posto 44h semanais</t>
  </si>
  <si>
    <t xml:space="preserve">Montante A (mão-de-obra por posto) </t>
  </si>
  <si>
    <t xml:space="preserve"> Valor do salário</t>
  </si>
  <si>
    <t>Valor do adicional noturno</t>
  </si>
  <si>
    <t>Valor do adicional de assiduidade</t>
  </si>
  <si>
    <t>Valor do adicional de intrajornada</t>
  </si>
  <si>
    <t xml:space="preserve">Outros adicionais (especificar)  </t>
  </si>
  <si>
    <t>Valor do adicional de risco de vida</t>
  </si>
  <si>
    <r>
      <t xml:space="preserve">Encargos sociais – 74,36% </t>
    </r>
    <r>
      <rPr>
        <b/>
        <sz val="10"/>
        <rFont val="Arial"/>
        <family val="2"/>
      </rPr>
      <t>(12)</t>
    </r>
  </si>
  <si>
    <t>Quantidade de empregados por postos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</si>
  <si>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</si>
  <si>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</si>
  <si>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</si>
  <si>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</si>
  <si>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</si>
  <si>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</si>
  <si>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Valor do seguro de vida em grupo</t>
  </si>
  <si>
    <t>Valor do auxílio funeral</t>
  </si>
  <si>
    <t>Valor de outros custos (especificar)</t>
  </si>
  <si>
    <t>Total dos Insumos de Mão-de-Obra</t>
  </si>
  <si>
    <t>Insumos Diversos</t>
  </si>
  <si>
    <t>Valor dos equipamentos</t>
  </si>
  <si>
    <t>Total de Insumos Diversos</t>
  </si>
  <si>
    <t>Demais Componentes</t>
  </si>
  <si>
    <r>
      <t xml:space="preserve">Taxa de Administração - 6,12% incidente sobre o somatório do Montante A, Insumos de Mão-de-Obra e Insumos Diversos </t>
    </r>
    <r>
      <rPr>
        <b/>
        <sz val="10"/>
        <rFont val="Arial"/>
        <family val="2"/>
      </rPr>
      <t>(13)</t>
    </r>
  </si>
  <si>
    <r>
      <t>Lucro - 7,20%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Montante A, Insumos de Mão-de-Obra, Insumos Diversos  e Taxa de Administração </t>
    </r>
    <r>
      <rPr>
        <b/>
        <sz val="10"/>
        <rFont val="Arial"/>
        <family val="2"/>
      </rPr>
      <t>(13)</t>
    </r>
  </si>
  <si>
    <t>Total dos Demais Componentes</t>
  </si>
  <si>
    <t>Tributos (14)</t>
  </si>
  <si>
    <t>PIS - 0,65%</t>
  </si>
  <si>
    <t>COFINS - 3%</t>
  </si>
  <si>
    <t xml:space="preserve">ISSQN - </t>
  </si>
  <si>
    <t xml:space="preserve">% </t>
  </si>
  <si>
    <t>Total dos Tributos (sobre o faturamento)</t>
  </si>
  <si>
    <t>Total do Montante B</t>
  </si>
  <si>
    <r>
      <t xml:space="preserve">Faturamento = preço unitário por posto  </t>
    </r>
    <r>
      <rPr>
        <b/>
        <sz val="10"/>
        <rFont val="Arial"/>
        <family val="2"/>
      </rPr>
      <t>(montante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+ montante  B)</t>
    </r>
  </si>
  <si>
    <t>Total Mensal dos Serviços</t>
  </si>
  <si>
    <t>FATOR K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</si>
  <si>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</si>
  <si>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(1)</t>
    </r>
    <r>
      <rPr>
        <sz val="10"/>
        <rFont val="Arial"/>
        <family val="2"/>
      </rPr>
      <t xml:space="preserve"> Informar o valor do salário base da categoria, relativamente a um empregado.     </t>
    </r>
  </si>
  <si>
    <r>
      <t>(2)</t>
    </r>
    <r>
      <rPr>
        <sz val="10"/>
        <rFont val="Arial"/>
        <family val="2"/>
      </rPr>
      <t xml:space="preserve"> Adicional noturno calculado com base no valor da hora estipulada na convenção  coletiva de trabalho,</t>
    </r>
  </si>
  <si>
    <t>considerando como horas noturnas as compreendidas entre 22:00 h e 5:00 h.</t>
  </si>
  <si>
    <t>A hora do trabalho noturno será computada como de 52 (cinquenta e dois) minutos e 30 (trinta) segundos,</t>
  </si>
  <si>
    <t>desde que a convenção coletiva de trabalho não disponha de forma diferente.</t>
  </si>
  <si>
    <r>
      <t xml:space="preserve">(3) </t>
    </r>
    <r>
      <rPr>
        <sz val="10"/>
        <rFont val="Arial"/>
        <family val="2"/>
      </rPr>
      <t xml:space="preserve"> Informar somente os adicionais previstos na Convenção Coletiva de Trabalho-CCT ou os decorrentes do local de trabalho, tais como:</t>
    </r>
  </si>
  <si>
    <r>
      <t xml:space="preserve">(3.1) </t>
    </r>
    <r>
      <rPr>
        <sz val="10"/>
        <rFont val="Arial"/>
        <family val="2"/>
      </rPr>
      <t>Assiduidade - informar o  valor do adicional calculado pela regra especificada na CCT.</t>
    </r>
  </si>
  <si>
    <r>
      <t>(3.2</t>
    </r>
    <r>
      <rPr>
        <sz val="10"/>
        <rFont val="Arial"/>
        <family val="2"/>
      </rPr>
      <t xml:space="preserve">) Intrajornada - aplicável apenas aos postos de </t>
    </r>
    <r>
      <rPr>
        <b/>
        <sz val="10"/>
        <rFont val="Arial"/>
        <family val="2"/>
      </rPr>
      <t>12x36</t>
    </r>
    <r>
      <rPr>
        <sz val="10"/>
        <rFont val="Arial"/>
        <family val="2"/>
      </rPr>
      <t xml:space="preserve">, equivale ao custo de uma hora extra. Portanto, informar o percentual definido      na CCT a ser aplicado sobre o valor da hora normal. </t>
    </r>
  </si>
  <si>
    <r>
      <t>(3.3)</t>
    </r>
    <r>
      <rPr>
        <sz val="10"/>
        <rFont val="Arial"/>
        <family val="2"/>
      </rPr>
      <t xml:space="preserve"> Risco de vida – informar o percentual definido na CCT, e em caso de disposição na referida norma coletiva outorgando-lhe natureza </t>
    </r>
  </si>
  <si>
    <t>meramente indenizatória, excluí-lo da base de cálculo dos “Encargos Sociais.</t>
  </si>
  <si>
    <r>
      <t>(3.4)</t>
    </r>
    <r>
      <rPr>
        <sz val="10"/>
        <rFont val="Arial"/>
        <family val="2"/>
      </rPr>
      <t xml:space="preserve"> Outros adicionais - especificar se previsto na CCT. Quando o valor se referir a hora de trabalho do "folguista", este item não deverá  integrar o divisor para cálculo do fator K.</t>
    </r>
  </si>
  <si>
    <r>
      <t>(4)</t>
    </r>
    <r>
      <rPr>
        <sz val="10"/>
        <rFont val="Arial"/>
        <family val="2"/>
      </rPr>
      <t xml:space="preserve"> O número de funcionários será sempre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nos postos de </t>
    </r>
    <r>
      <rPr>
        <b/>
        <sz val="10"/>
        <rFont val="Arial"/>
        <family val="2"/>
      </rPr>
      <t>12x36 h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nos de </t>
    </r>
    <r>
      <rPr>
        <b/>
        <sz val="10"/>
        <rFont val="Arial"/>
        <family val="2"/>
      </rPr>
      <t>44 h</t>
    </r>
    <r>
      <rPr>
        <sz val="10"/>
        <rFont val="Arial"/>
        <family val="2"/>
      </rPr>
      <t xml:space="preserve"> semanais.</t>
    </r>
  </si>
  <si>
    <r>
      <t>(5)</t>
    </r>
    <r>
      <rPr>
        <sz val="10"/>
        <rFont val="Arial"/>
        <family val="2"/>
      </rPr>
      <t xml:space="preserve"> Valor médio nacional dos contratos no âmbito do MPU. Foi considerado o fornecimento de 2 conjuntos por semestre.</t>
    </r>
  </si>
  <si>
    <r>
      <t>(6)</t>
    </r>
    <r>
      <rPr>
        <sz val="10"/>
        <rFont val="Arial"/>
        <family val="2"/>
      </rPr>
      <t xml:space="preserve"> Informar o valor correspondente a duas passagens para os dias trabalhados.</t>
    </r>
  </si>
  <si>
    <r>
      <t>(7)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</si>
  <si>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(8)</t>
    </r>
    <r>
      <rPr>
        <sz val="10"/>
        <rFont val="Arial"/>
        <family val="2"/>
      </rPr>
      <t xml:space="preserve"> Informar o valor previsto na CCT.</t>
    </r>
  </si>
  <si>
    <r>
      <t>(9)</t>
    </r>
    <r>
      <rPr>
        <sz val="10"/>
        <rFont val="Arial"/>
        <family val="2"/>
      </rPr>
      <t xml:space="preserve"> Percentual definido em estudo realizado pela Casa Civil do Estado de São Paulo e adotado pela AUDIN/MPU.</t>
    </r>
  </si>
  <si>
    <r>
      <t xml:space="preserve">(10)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</si>
  <si>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>(11)</t>
    </r>
    <r>
      <rPr>
        <sz val="10"/>
        <rFont val="Arial"/>
        <family val="2"/>
      </rPr>
      <t xml:space="preserve"> Valor médio nacional dos contratos no âmbito do MPU, sendo aplicável somente para postos de vigilância armada.</t>
    </r>
  </si>
  <si>
    <r>
      <t xml:space="preserve">(12) </t>
    </r>
    <r>
      <rPr>
        <sz val="10"/>
        <rFont val="Arial"/>
        <family val="2"/>
      </rPr>
      <t>Percentual definido em estudo realizado pela SCI/STF e adotado pela AUDIN/MPU</t>
    </r>
  </si>
  <si>
    <r>
      <t>(13)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</si>
  <si>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(14)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</si>
  <si>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  de nº 539, de 25/04/2005, excluídos o IRPJ e a CSLL por força do Acórdão TCU nº 950/2007 – Plenário.</t>
  </si>
  <si>
    <t xml:space="preserve">        Quanto ao ISSQN utilizar a alíquota prevista na legislação municipal onde os serviços serão prestados.</t>
  </si>
  <si>
    <t>%</t>
  </si>
  <si>
    <t>Áreas reais da unidade (em M²)</t>
  </si>
  <si>
    <t>DATA BASE DA CATEGORIA(dia/mês/ano):_____/______/______</t>
  </si>
  <si>
    <t>Tipos de Áreas</t>
  </si>
  <si>
    <t>Edifício Sede</t>
  </si>
  <si>
    <t>Anexos</t>
  </si>
  <si>
    <t>PRMs ou PTMs</t>
  </si>
  <si>
    <t>TOTAL</t>
  </si>
  <si>
    <r>
      <t xml:space="preserve">Salário do servente </t>
    </r>
    <r>
      <rPr>
        <b/>
        <sz val="10"/>
        <rFont val="Arial"/>
        <family val="2"/>
      </rPr>
      <t>(1)</t>
    </r>
  </si>
  <si>
    <r>
      <t xml:space="preserve">área interna </t>
    </r>
    <r>
      <rPr>
        <b/>
        <sz val="8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</si>
  <si>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</si>
  <si>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r>
      <t xml:space="preserve">área externa </t>
    </r>
    <r>
      <rPr>
        <b/>
        <sz val="8"/>
        <rFont val="Arial"/>
        <family val="2"/>
      </rPr>
      <t>(1)</t>
    </r>
  </si>
  <si>
    <r>
      <t xml:space="preserve">Informar o percentual do adicional periculosidade   </t>
    </r>
    <r>
      <rPr>
        <b/>
        <sz val="10"/>
        <rFont val="Arial"/>
        <family val="2"/>
      </rPr>
      <t>(2)</t>
    </r>
  </si>
  <si>
    <r>
      <t xml:space="preserve">esquadria externa </t>
    </r>
    <r>
      <rPr>
        <b/>
        <sz val="8"/>
        <rFont val="Arial"/>
        <family val="2"/>
      </rPr>
      <t>(1)</t>
    </r>
  </si>
  <si>
    <r>
      <t xml:space="preserve">fachaçada envidraçada </t>
    </r>
    <r>
      <rPr>
        <b/>
        <sz val="8"/>
        <rFont val="Arial"/>
        <family val="2"/>
      </rPr>
      <t>(1)</t>
    </r>
  </si>
  <si>
    <r>
      <t xml:space="preserve">área médico hospitalar </t>
    </r>
    <r>
      <rPr>
        <b/>
        <sz val="8"/>
        <rFont val="Arial"/>
        <family val="2"/>
      </rPr>
      <t>(1)</t>
    </r>
  </si>
  <si>
    <r>
      <t>Valor do uniforme</t>
    </r>
    <r>
      <rPr>
        <b/>
        <sz val="10"/>
        <rFont val="Arial"/>
        <family val="2"/>
      </rPr>
      <t xml:space="preserve"> (3)</t>
    </r>
  </si>
  <si>
    <r>
      <t xml:space="preserve">Valor do vale transporte </t>
    </r>
    <r>
      <rPr>
        <b/>
        <sz val="10"/>
        <rFont val="Arial"/>
        <family val="2"/>
      </rPr>
      <t>(4)</t>
    </r>
  </si>
  <si>
    <r>
      <t>Observações:</t>
    </r>
    <r>
      <rPr>
        <sz val="10"/>
        <rFont val="Arial"/>
        <family val="2"/>
      </rPr>
      <t xml:space="preserve"> </t>
    </r>
  </si>
  <si>
    <r>
      <t xml:space="preserve">Valor do auxílio-alimentação </t>
    </r>
    <r>
      <rPr>
        <b/>
        <sz val="10"/>
        <rFont val="Arial"/>
        <family val="2"/>
      </rPr>
      <t>(5)</t>
    </r>
  </si>
  <si>
    <r>
      <t>(1)</t>
    </r>
    <r>
      <rPr>
        <sz val="10"/>
        <rFont val="Arial"/>
        <family val="2"/>
      </rPr>
      <t xml:space="preserve"> Informar as metragens reais da unidade de acordo com os tipos de áreas existentes, incluindo PRMs/PTMs conforme abrangência da </t>
    </r>
  </si>
  <si>
    <r>
      <t xml:space="preserve">Valor da assistência médica-odontológica </t>
    </r>
    <r>
      <rPr>
        <b/>
        <sz val="10"/>
        <rFont val="Arial"/>
        <family val="2"/>
      </rPr>
      <t>(6)</t>
    </r>
  </si>
  <si>
    <t>licitação/contratação.</t>
  </si>
  <si>
    <r>
      <t xml:space="preserve">Outros custos por funcionário (especificar) </t>
    </r>
    <r>
      <rPr>
        <b/>
        <sz val="10"/>
        <rFont val="Arial"/>
        <family val="2"/>
      </rPr>
      <t>(7)</t>
    </r>
  </si>
  <si>
    <t xml:space="preserve">Preço do homem-mês : </t>
  </si>
  <si>
    <t>INSUMOS DIVERSOS</t>
  </si>
  <si>
    <t>servente</t>
  </si>
  <si>
    <r>
      <t>Fornecimento de material de limpeza</t>
    </r>
    <r>
      <rPr>
        <b/>
        <sz val="10"/>
        <rFont val="Arial"/>
        <family val="2"/>
      </rPr>
      <t xml:space="preserve">   (8)</t>
    </r>
  </si>
  <si>
    <t>encarregado</t>
  </si>
  <si>
    <r>
      <t xml:space="preserve">Informar o percentual do ISSQN do município   </t>
    </r>
    <r>
      <rPr>
        <b/>
        <sz val="10"/>
        <rFont val="Arial"/>
        <family val="2"/>
      </rPr>
      <t>(11)</t>
    </r>
  </si>
  <si>
    <t>ANEXO III-F da IN/SLTI nº 2/2008 alterada.</t>
  </si>
  <si>
    <t>(Produtivades mínimas do art. 44, considerando os parâmetros do anexo V da IN/SLTI)</t>
  </si>
  <si>
    <t>Tipo de área</t>
  </si>
  <si>
    <r>
      <t xml:space="preserve">Produtividade ( I )
(1/m²) </t>
    </r>
    <r>
      <rPr>
        <b/>
        <sz val="8"/>
        <rFont val="Arial"/>
        <family val="2"/>
      </rPr>
      <t>(1)</t>
    </r>
  </si>
  <si>
    <t>Preço do homem-mês ( II )</t>
  </si>
  <si>
    <t>Subtotal (R$/m²)
( I ) x ( II )</t>
  </si>
  <si>
    <t>PLANILHA DE CUSTOS</t>
  </si>
  <si>
    <t>área interna</t>
  </si>
  <si>
    <t>Serviços de Limpeza e Conservação - Servente</t>
  </si>
  <si>
    <t xml:space="preserve">servente </t>
  </si>
  <si>
    <t>Custo</t>
  </si>
  <si>
    <t>preço por m² total - área interna</t>
  </si>
  <si>
    <t>área externa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</si>
  <si>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</si>
  <si>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</si>
  <si>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</si>
  <si>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preço por m² total - área externa</t>
  </si>
  <si>
    <t>Valor do adicional de periculosidade</t>
  </si>
  <si>
    <t>área médico hospitalar</t>
  </si>
  <si>
    <r>
      <t xml:space="preserve">Encargos Sociais - 72,11% </t>
    </r>
    <r>
      <rPr>
        <b/>
        <sz val="10"/>
        <rFont val="Arial"/>
        <family val="2"/>
      </rPr>
      <t>(9)</t>
    </r>
  </si>
  <si>
    <t>preço por m² total - área médico hospitalar</t>
  </si>
  <si>
    <r>
      <t xml:space="preserve">Frequência mês/semestre ( II )
 (em horas) </t>
    </r>
    <r>
      <rPr>
        <b/>
        <sz val="8"/>
        <rFont val="Arial"/>
        <family val="2"/>
      </rPr>
      <t>(2)</t>
    </r>
  </si>
  <si>
    <t>Jornada no Mês ( III )
(em horas)</t>
  </si>
  <si>
    <t>Coeficiente (ki)
( I )x( II )x( III )=( IV )</t>
  </si>
  <si>
    <t>Preço do homem-mês ( V )</t>
  </si>
  <si>
    <t>Subtotal(R$/m²)
( IV )x( V )</t>
  </si>
  <si>
    <t>esquadria externa</t>
  </si>
  <si>
    <t>Valor de outros custos por funcionário (especificar)</t>
  </si>
  <si>
    <t>preço por m² total - esquadria externa</t>
  </si>
  <si>
    <t>Fornecimento de material de limpeza</t>
  </si>
  <si>
    <t>fachaçada envidraçada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</si>
  <si>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e Insumos</t>
    </r>
    <r>
      <rPr>
        <b/>
        <sz val="10"/>
        <rFont val="Arial"/>
        <family val="2"/>
      </rPr>
      <t xml:space="preserve"> (10)</t>
    </r>
  </si>
  <si>
    <t>preço por m² total - fachada envidraçada</t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</si>
  <si>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</si>
  <si>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Valor Mensal dos Serviços (Considerando todas os edifícios - Prédio-Sede, anexos, PTMs)</t>
  </si>
  <si>
    <t>Tributos (11)</t>
  </si>
  <si>
    <t xml:space="preserve">Preço por m² mensal
 (R$/m²) </t>
  </si>
  <si>
    <t>Área (m²)</t>
  </si>
  <si>
    <t>Limite por tipo de 
área(R$)</t>
  </si>
  <si>
    <t xml:space="preserve">PIS - 0,65% </t>
  </si>
  <si>
    <t xml:space="preserve"> %</t>
  </si>
  <si>
    <t>Faturamento = preço unitário por empregado (montante A + montante B)</t>
  </si>
  <si>
    <t>Limite Máximo Contratação (R$)</t>
  </si>
  <si>
    <t>Observações: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</si>
  <si>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</t>
    </r>
  </si>
  <si>
    <r>
      <t>(1)</t>
    </r>
    <r>
      <rPr>
        <sz val="10"/>
        <rFont val="Arial"/>
        <family val="2"/>
      </rPr>
      <t xml:space="preserve"> Produtividades mínimas determinadas no art.44 da IN/SLTI nº 2/2008 alterada.</t>
    </r>
  </si>
  <si>
    <t xml:space="preserve">                      dos valores individuais.</t>
  </si>
  <si>
    <r>
      <t>(1)</t>
    </r>
    <r>
      <rPr>
        <sz val="10"/>
        <rFont val="Arial"/>
        <family val="2"/>
      </rPr>
      <t xml:space="preserve"> A produtividade do encarregado é apurada com base na relação entre serventes e encarregados apontada no §1º do art. 44 da IN/SLTI nº 2/2008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</si>
  <si>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</si>
  <si>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t xml:space="preserve"> alterada, caso seja modificada estes valores das planilhas deverão ser adequados à nova situação, bem como os coeficientes deles decorrentes (Ki).</t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</si>
  <si>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</si>
  <si>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r>
      <t xml:space="preserve">(2) </t>
    </r>
    <r>
      <rPr>
        <sz val="10"/>
        <rFont val="Arial"/>
        <family val="2"/>
      </rPr>
      <t>Freqüência sugerida em horas por mês, no caso da área de esquadrias externas, e horas por semestre, no caso da área de fachaçada envridraçada.</t>
    </r>
  </si>
  <si>
    <r>
      <t xml:space="preserve">(3)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</si>
  <si>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t xml:space="preserve"> Caso a freqüência adotada, em horas, por mês ou semestre, seja diferente, estes valores deverão ser adequados à nova situação, bem como os </t>
  </si>
  <si>
    <r>
      <t>(4)</t>
    </r>
    <r>
      <rPr>
        <sz val="10"/>
        <rFont val="Arial"/>
        <family val="2"/>
      </rPr>
      <t xml:space="preserve"> Informar o valor correspondente ao custo diário das passagens para os dias trabalhados.</t>
    </r>
  </si>
  <si>
    <t xml:space="preserve">coeficientes delas decorrentes (Ki). </t>
  </si>
  <si>
    <r>
      <t>(5)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</si>
  <si>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(6)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</si>
  <si>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(7)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</si>
  <si>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(8) </t>
    </r>
    <r>
      <rPr>
        <sz val="10"/>
        <rFont val="Arial"/>
        <family val="2"/>
      </rPr>
      <t>Valor médio nacional dos contratos no âmbito do MPU, inclusive depreciação de equipamentos.</t>
    </r>
  </si>
  <si>
    <r>
      <t xml:space="preserve">(9) </t>
    </r>
    <r>
      <rPr>
        <sz val="10"/>
        <rFont val="Arial"/>
        <family val="2"/>
      </rPr>
      <t>Percentual definido em estudo realizado pela SCI/STF e adotado pela AUDIN/MPU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</si>
  <si>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</si>
  <si>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</si>
  <si>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</si>
  <si>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Quanto ao ISSQN utilizar a alíquota prevista na legislação municipal onde os serviços serão prestados.</t>
  </si>
  <si>
    <r>
      <t xml:space="preserve">Salário do Encarregado </t>
    </r>
    <r>
      <rPr>
        <b/>
        <sz val="10"/>
        <rFont val="Arial"/>
        <family val="2"/>
      </rPr>
      <t>(1)</t>
    </r>
  </si>
  <si>
    <r>
      <t xml:space="preserve">Quantidade de empregados </t>
    </r>
    <r>
      <rPr>
        <b/>
        <sz val="10"/>
        <rFont val="Arial"/>
        <family val="2"/>
      </rPr>
      <t>(3)</t>
    </r>
  </si>
  <si>
    <r>
      <t>Valor do uniforme</t>
    </r>
    <r>
      <rPr>
        <b/>
        <sz val="10"/>
        <rFont val="Arial"/>
        <family val="2"/>
      </rPr>
      <t xml:space="preserve"> (4)</t>
    </r>
  </si>
  <si>
    <r>
      <t xml:space="preserve">Valor do vale transporte </t>
    </r>
    <r>
      <rPr>
        <b/>
        <sz val="10"/>
        <rFont val="Arial"/>
        <family val="2"/>
      </rPr>
      <t>(5)</t>
    </r>
  </si>
  <si>
    <r>
      <t xml:space="preserve">Valor do auxílio-alimentação </t>
    </r>
    <r>
      <rPr>
        <b/>
        <sz val="10"/>
        <rFont val="Arial"/>
        <family val="2"/>
      </rPr>
      <t>(6)</t>
    </r>
  </si>
  <si>
    <r>
      <t xml:space="preserve">Valor da assistência médica-odontológica </t>
    </r>
    <r>
      <rPr>
        <b/>
        <sz val="10"/>
        <rFont val="Arial"/>
        <family val="2"/>
      </rPr>
      <t>(7)</t>
    </r>
  </si>
  <si>
    <r>
      <t xml:space="preserve">Outros custos por funcionário (especificar) </t>
    </r>
    <r>
      <rPr>
        <b/>
        <sz val="10"/>
        <rFont val="Arial"/>
        <family val="2"/>
      </rPr>
      <t>(8)</t>
    </r>
  </si>
  <si>
    <t>Serviços de Limpeza e Conservação - Encarregado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</si>
  <si>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</t>
    </r>
  </si>
  <si>
    <r>
      <t>(3)</t>
    </r>
    <r>
      <rPr>
        <sz val="10"/>
        <rFont val="Arial"/>
        <family val="2"/>
      </rPr>
      <t xml:space="preserve"> Não informar mais o número de empregados da categoria, pois será definido pela contratada conforme área física a ser limpa e </t>
    </r>
  </si>
  <si>
    <t xml:space="preserve">     produtividades previstas no projeto básico.</t>
  </si>
  <si>
    <r>
      <t xml:space="preserve">(4)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</si>
  <si>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>(5)</t>
    </r>
    <r>
      <rPr>
        <sz val="10"/>
        <rFont val="Arial"/>
        <family val="2"/>
      </rPr>
      <t xml:space="preserve"> Informar o valor correspondente ao custo diário das passagens para os dias trabalhados.</t>
    </r>
  </si>
  <si>
    <r>
      <t>(6)</t>
    </r>
    <r>
      <rPr>
        <sz val="10"/>
        <rFont val="Arial"/>
        <family val="2"/>
      </rPr>
      <t xml:space="preserve"> Informar o valor de cada benefício previsto no acordo coletivo da categoria.</t>
    </r>
  </si>
  <si>
    <r>
      <t>(7)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</si>
  <si>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(8)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</si>
  <si>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Salário da copeira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</si>
  <si>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 (2)</t>
    </r>
  </si>
  <si>
    <r>
      <t xml:space="preserve">Informar o percentual do adicional periculosidade </t>
    </r>
    <r>
      <rPr>
        <b/>
        <sz val="10"/>
        <rFont val="Arial"/>
        <family val="2"/>
      </rPr>
      <t>(2)</t>
    </r>
  </si>
  <si>
    <r>
      <t>Fornecimento de material</t>
    </r>
    <r>
      <rPr>
        <b/>
        <sz val="10"/>
        <rFont val="Arial"/>
        <family val="2"/>
      </rPr>
      <t xml:space="preserve"> (9)</t>
    </r>
  </si>
  <si>
    <r>
      <t xml:space="preserve">Informar o percentual do ISSQN do município    </t>
    </r>
    <r>
      <rPr>
        <b/>
        <sz val="10"/>
        <rFont val="Arial"/>
        <family val="2"/>
      </rPr>
      <t>(12)</t>
    </r>
  </si>
  <si>
    <t>Serviço de Copeiragem - Copeira</t>
  </si>
  <si>
    <t>Salário da copeira</t>
  </si>
  <si>
    <r>
      <t xml:space="preserve">Encargos Sociais - 72,11% </t>
    </r>
    <r>
      <rPr>
        <b/>
        <sz val="10"/>
        <rFont val="Arial"/>
        <family val="2"/>
      </rPr>
      <t>(10)</t>
    </r>
  </si>
  <si>
    <t xml:space="preserve">Quantidade de Empregados </t>
  </si>
  <si>
    <t>Fornecimento de material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</si>
  <si>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(11)</t>
    </r>
  </si>
  <si>
    <r>
      <t>Lucro - 7,2%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(11)</t>
    </r>
  </si>
  <si>
    <t>Tributos (12)</t>
  </si>
  <si>
    <t>Preço mensal dos serv.da categoria (Faturamento x qde.Empregados)</t>
  </si>
  <si>
    <r>
      <t>(3)</t>
    </r>
    <r>
      <rPr>
        <sz val="10"/>
        <rFont val="Arial"/>
        <family val="2"/>
      </rPr>
      <t xml:space="preserve"> Informar o número de empregados da categoria previsto no projeto básico.</t>
    </r>
  </si>
  <si>
    <r>
      <t>(9)</t>
    </r>
    <r>
      <rPr>
        <sz val="10"/>
        <rFont val="Arial"/>
        <family val="2"/>
      </rPr>
      <t xml:space="preserve"> Somente incluir custos da espécie na planilha quando previsto no projeto básico. </t>
    </r>
  </si>
  <si>
    <r>
      <t xml:space="preserve">(10) </t>
    </r>
    <r>
      <rPr>
        <sz val="10"/>
        <rFont val="Arial"/>
        <family val="2"/>
      </rPr>
      <t>Percentual definido em estudo realizado pela SCI/STF e adotado pela AUDIN/MPU</t>
    </r>
  </si>
  <si>
    <r>
      <t>(11)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</si>
  <si>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(12)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</si>
  <si>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Quanto ao ISSQN utilizar a alíquota prevista na legislação municipal onde os serviços serão prestados.</t>
  </si>
  <si>
    <r>
      <t xml:space="preserve">Salário do garçom </t>
    </r>
    <r>
      <rPr>
        <b/>
        <sz val="10"/>
        <rFont val="Arial"/>
        <family val="2"/>
      </rPr>
      <t>(1)</t>
    </r>
  </si>
  <si>
    <r>
      <t xml:space="preserve">Informar o percentual do ISSQN do município  </t>
    </r>
    <r>
      <rPr>
        <b/>
        <sz val="10"/>
        <rFont val="Arial"/>
        <family val="2"/>
      </rPr>
      <t>(11)</t>
    </r>
  </si>
  <si>
    <t>Serviço de Copeiragem - Garçom</t>
  </si>
  <si>
    <t>Salário do garçom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</si>
  <si>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 e Insumos</t>
    </r>
    <r>
      <rPr>
        <b/>
        <sz val="10"/>
        <rFont val="Arial"/>
        <family val="2"/>
      </rPr>
      <t xml:space="preserve">   (10)</t>
    </r>
  </si>
  <si>
    <r>
      <t xml:space="preserve">Salário da recepcionista </t>
    </r>
    <r>
      <rPr>
        <b/>
        <sz val="10"/>
        <rFont val="Arial"/>
        <family val="2"/>
      </rPr>
      <t>(1)</t>
    </r>
  </si>
  <si>
    <t>Serviço de Recepcionista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</si>
  <si>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somatório do Montante A e Insumos </t>
    </r>
    <r>
      <rPr>
        <b/>
        <sz val="10"/>
        <rFont val="Arial"/>
        <family val="2"/>
      </rPr>
      <t xml:space="preserve"> (10)</t>
    </r>
  </si>
  <si>
    <r>
      <t xml:space="preserve">Salário do (indicar)   </t>
    </r>
    <r>
      <rPr>
        <b/>
        <sz val="10"/>
        <rFont val="Arial"/>
        <family val="2"/>
      </rPr>
      <t>(1)</t>
    </r>
  </si>
  <si>
    <t>Outras Modalidades (indicar)</t>
  </si>
  <si>
    <r>
      <t>(9)</t>
    </r>
    <r>
      <rPr>
        <sz val="10"/>
        <rFont val="Arial"/>
        <family val="2"/>
      </rPr>
      <t xml:space="preserve"> Somente incluir custos da espécie nas planilhas quando previsto no projeto básico. 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</si>
</sst>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;\-#,##0.00"/>
    <numFmt numFmtId="166" formatCode="#,##0.00"/>
    <numFmt numFmtId="167" formatCode="0"/>
    <numFmt numFmtId="168" formatCode="#,##0"/>
    <numFmt numFmtId="169" formatCode="#,##0;\-#,##0"/>
    <numFmt numFmtId="170" formatCode="0.00"/>
    <numFmt numFmtId="171" formatCode="#,##0.00\ ;&quot; (&quot;#,##0.00\);&quot; -&quot;#\ ;@\ "/>
    <numFmt numFmtId="172" formatCode="0\ ;\(0\)"/>
    <numFmt numFmtId="173" formatCode="0.00000E+00;\ࣸ"/>
    <numFmt numFmtId="174" formatCode="#,##0\ ;&quot; (&quot;#,##0\);&quot; -&quot;#\ ;@\ "/>
    <numFmt numFmtId="175" formatCode="#,##0.000000\ ;&quot; (&quot;#,##0.000000\);&quot; -&quot;#\ ;@\ "/>
    <numFmt numFmtId="176" formatCode="#,##0.0000000000\ ;&quot; (&quot;#,##0.0000000000\);&quot; -&quot;#\ ;@\ "/>
    <numFmt numFmtId="177" formatCode="#,##0.0000000\ ;&quot; (&quot;#,##0.0000000\);&quot; -&quot;#\ ;@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trike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7" fillId="0" borderId="9" applyNumberFormat="0" applyFill="0" applyAlignment="0" applyProtection="0"/>
  </cellStyleXfs>
  <cellXfs count="236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18" fillId="24" borderId="0" xfId="0" applyFont="1" applyFill="1" applyAlignment="1">
      <alignment horizontal="center"/>
    </xf>
    <xf numFmtId="164" fontId="19" fillId="22" borderId="10" xfId="0" applyFont="1" applyFill="1" applyBorder="1" applyAlignment="1" applyProtection="1">
      <alignment horizontal="center" vertical="center" wrapText="1"/>
      <protection locked="0"/>
    </xf>
    <xf numFmtId="164" fontId="19" fillId="22" borderId="11" xfId="0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Border="1" applyAlignment="1" applyProtection="1">
      <alignment horizontal="center"/>
      <protection locked="0"/>
    </xf>
    <xf numFmtId="164" fontId="19" fillId="0" borderId="13" xfId="0" applyFont="1" applyBorder="1" applyAlignment="1" applyProtection="1">
      <alignment horizontal="center"/>
      <protection locked="0"/>
    </xf>
    <xf numFmtId="164" fontId="0" fillId="0" borderId="14" xfId="0" applyFon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6" xfId="0" applyNumberFormat="1" applyFont="1" applyBorder="1" applyAlignment="1" applyProtection="1">
      <alignment horizontal="center"/>
      <protection locked="0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16" borderId="15" xfId="0" applyNumberFormat="1" applyFont="1" applyFill="1" applyBorder="1" applyAlignment="1" applyProtection="1">
      <alignment horizontal="center"/>
      <protection/>
    </xf>
    <xf numFmtId="165" fontId="0" fillId="16" borderId="18" xfId="0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 wrapText="1"/>
      <protection/>
    </xf>
    <xf numFmtId="166" fontId="0" fillId="0" borderId="16" xfId="0" applyNumberFormat="1" applyFont="1" applyBorder="1" applyAlignment="1" applyProtection="1">
      <alignment horizontal="center"/>
      <protection locked="0"/>
    </xf>
    <xf numFmtId="166" fontId="0" fillId="0" borderId="18" xfId="0" applyNumberFormat="1" applyFont="1" applyBorder="1" applyAlignment="1" applyProtection="1">
      <alignment horizontal="center"/>
      <protection locked="0"/>
    </xf>
    <xf numFmtId="164" fontId="0" fillId="0" borderId="14" xfId="0" applyFont="1" applyFill="1" applyBorder="1" applyAlignment="1" applyProtection="1">
      <alignment wrapText="1"/>
      <protection/>
    </xf>
    <xf numFmtId="167" fontId="0" fillId="0" borderId="16" xfId="0" applyNumberFormat="1" applyFont="1" applyBorder="1" applyAlignment="1" applyProtection="1">
      <alignment horizontal="center"/>
      <protection locked="0"/>
    </xf>
    <xf numFmtId="167" fontId="0" fillId="0" borderId="18" xfId="0" applyNumberFormat="1" applyFont="1" applyBorder="1" applyAlignment="1" applyProtection="1">
      <alignment horizontal="center"/>
      <protection locked="0"/>
    </xf>
    <xf numFmtId="168" fontId="0" fillId="0" borderId="16" xfId="0" applyNumberFormat="1" applyFont="1" applyBorder="1" applyAlignment="1" applyProtection="1">
      <alignment horizontal="center"/>
      <protection/>
    </xf>
    <xf numFmtId="168" fontId="0" fillId="0" borderId="15" xfId="0" applyNumberFormat="1" applyFont="1" applyBorder="1" applyAlignment="1" applyProtection="1">
      <alignment horizontal="center"/>
      <protection/>
    </xf>
    <xf numFmtId="168" fontId="0" fillId="0" borderId="18" xfId="0" applyNumberFormat="1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/>
      <protection locked="0"/>
    </xf>
    <xf numFmtId="168" fontId="0" fillId="0" borderId="20" xfId="0" applyNumberFormat="1" applyFont="1" applyBorder="1" applyAlignment="1" applyProtection="1">
      <alignment horizontal="center"/>
      <protection locked="0"/>
    </xf>
    <xf numFmtId="168" fontId="0" fillId="0" borderId="21" xfId="0" applyNumberFormat="1" applyFont="1" applyBorder="1" applyAlignment="1" applyProtection="1">
      <alignment horizontal="center"/>
      <protection locked="0"/>
    </xf>
    <xf numFmtId="168" fontId="0" fillId="0" borderId="22" xfId="0" applyNumberFormat="1" applyFont="1" applyBorder="1" applyAlignment="1" applyProtection="1">
      <alignment horizontal="center"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 vertical="center" wrapText="1"/>
      <protection locked="0"/>
    </xf>
    <xf numFmtId="166" fontId="0" fillId="0" borderId="24" xfId="0" applyNumberFormat="1" applyFont="1" applyBorder="1" applyAlignment="1" applyProtection="1">
      <alignment horizontal="center"/>
      <protection locked="0"/>
    </xf>
    <xf numFmtId="166" fontId="0" fillId="0" borderId="25" xfId="0" applyNumberFormat="1" applyFont="1" applyBorder="1" applyAlignment="1" applyProtection="1">
      <alignment horizontal="center"/>
      <protection locked="0"/>
    </xf>
    <xf numFmtId="166" fontId="0" fillId="0" borderId="26" xfId="0" applyNumberFormat="1" applyFont="1" applyBorder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vertical="center" wrapText="1"/>
      <protection locked="0"/>
    </xf>
    <xf numFmtId="165" fontId="0" fillId="0" borderId="28" xfId="0" applyNumberFormat="1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5" fontId="0" fillId="0" borderId="22" xfId="0" applyNumberFormat="1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left"/>
      <protection locked="0"/>
    </xf>
    <xf numFmtId="166" fontId="0" fillId="0" borderId="29" xfId="0" applyNumberFormat="1" applyFont="1" applyBorder="1" applyAlignment="1" applyProtection="1">
      <alignment horizontal="center"/>
      <protection locked="0"/>
    </xf>
    <xf numFmtId="166" fontId="0" fillId="0" borderId="30" xfId="0" applyNumberFormat="1" applyFont="1" applyBorder="1" applyAlignment="1" applyProtection="1">
      <alignment horizontal="center"/>
      <protection locked="0"/>
    </xf>
    <xf numFmtId="166" fontId="0" fillId="0" borderId="31" xfId="0" applyNumberFormat="1" applyFont="1" applyBorder="1" applyAlignment="1" applyProtection="1">
      <alignment horizontal="center"/>
      <protection locked="0"/>
    </xf>
    <xf numFmtId="164" fontId="19" fillId="0" borderId="32" xfId="0" applyFont="1" applyBorder="1" applyAlignment="1" applyProtection="1">
      <alignment horizontal="center"/>
      <protection locked="0"/>
    </xf>
    <xf numFmtId="164" fontId="0" fillId="0" borderId="19" xfId="0" applyFont="1" applyBorder="1" applyAlignment="1" applyProtection="1">
      <alignment vertical="center" wrapText="1"/>
      <protection locked="0"/>
    </xf>
    <xf numFmtId="167" fontId="0" fillId="0" borderId="20" xfId="0" applyNumberFormat="1" applyFont="1" applyBorder="1" applyAlignment="1" applyProtection="1">
      <alignment horizontal="center" vertical="center" wrapText="1"/>
      <protection locked="0"/>
    </xf>
    <xf numFmtId="167" fontId="0" fillId="0" borderId="21" xfId="0" applyNumberFormat="1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horizontal="center"/>
      <protection locked="0"/>
    </xf>
    <xf numFmtId="164" fontId="22" fillId="24" borderId="0" xfId="0" applyFont="1" applyFill="1" applyAlignment="1">
      <alignment/>
    </xf>
    <xf numFmtId="164" fontId="18" fillId="24" borderId="0" xfId="0" applyFont="1" applyFill="1" applyAlignment="1" applyProtection="1">
      <alignment/>
      <protection/>
    </xf>
    <xf numFmtId="164" fontId="22" fillId="24" borderId="0" xfId="0" applyFont="1" applyFill="1" applyAlignment="1" applyProtection="1">
      <alignment/>
      <protection/>
    </xf>
    <xf numFmtId="164" fontId="18" fillId="24" borderId="0" xfId="0" applyFont="1" applyFill="1" applyAlignment="1" applyProtection="1">
      <alignment horizontal="center"/>
      <protection/>
    </xf>
    <xf numFmtId="164" fontId="22" fillId="24" borderId="0" xfId="0" applyFont="1" applyFill="1" applyAlignment="1" applyProtection="1">
      <alignment horizontal="right"/>
      <protection/>
    </xf>
    <xf numFmtId="165" fontId="18" fillId="24" borderId="0" xfId="0" applyNumberFormat="1" applyFont="1" applyFill="1" applyAlignment="1" applyProtection="1">
      <alignment horizontal="center"/>
      <protection/>
    </xf>
    <xf numFmtId="165" fontId="23" fillId="24" borderId="0" xfId="0" applyNumberFormat="1" applyFont="1" applyFill="1" applyAlignment="1" applyProtection="1">
      <alignment horizontal="right"/>
      <protection/>
    </xf>
    <xf numFmtId="164" fontId="19" fillId="6" borderId="10" xfId="0" applyFont="1" applyFill="1" applyBorder="1" applyAlignment="1" applyProtection="1">
      <alignment horizontal="center" vertical="center" wrapText="1"/>
      <protection/>
    </xf>
    <xf numFmtId="164" fontId="19" fillId="0" borderId="32" xfId="0" applyFont="1" applyBorder="1" applyAlignment="1" applyProtection="1">
      <alignment horizontal="center"/>
      <protection/>
    </xf>
    <xf numFmtId="164" fontId="0" fillId="0" borderId="32" xfId="0" applyFont="1" applyBorder="1" applyAlignment="1" applyProtection="1">
      <alignment/>
      <protection/>
    </xf>
    <xf numFmtId="164" fontId="0" fillId="0" borderId="33" xfId="0" applyFont="1" applyBorder="1" applyAlignment="1" applyProtection="1">
      <alignment/>
      <protection/>
    </xf>
    <xf numFmtId="165" fontId="18" fillId="24" borderId="0" xfId="0" applyNumberFormat="1" applyFont="1" applyFill="1" applyAlignment="1" applyProtection="1">
      <alignment/>
      <protection/>
    </xf>
    <xf numFmtId="165" fontId="0" fillId="0" borderId="34" xfId="0" applyNumberFormat="1" applyFont="1" applyBorder="1" applyAlignment="1" applyProtection="1">
      <alignment vertical="center" wrapText="1"/>
      <protection/>
    </xf>
    <xf numFmtId="166" fontId="0" fillId="0" borderId="34" xfId="0" applyNumberFormat="1" applyFont="1" applyBorder="1" applyAlignment="1" applyProtection="1">
      <alignment horizontal="center" vertical="center" wrapText="1"/>
      <protection/>
    </xf>
    <xf numFmtId="164" fontId="0" fillId="0" borderId="35" xfId="0" applyFont="1" applyBorder="1" applyAlignment="1" applyProtection="1">
      <alignment vertical="center" wrapText="1"/>
      <protection/>
    </xf>
    <xf numFmtId="166" fontId="0" fillId="0" borderId="35" xfId="0" applyNumberFormat="1" applyFont="1" applyBorder="1" applyAlignment="1" applyProtection="1">
      <alignment horizontal="center" vertical="center" wrapText="1"/>
      <protection/>
    </xf>
    <xf numFmtId="166" fontId="0" fillId="16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Font="1" applyBorder="1" applyAlignment="1" applyProtection="1">
      <alignment wrapText="1"/>
      <protection/>
    </xf>
    <xf numFmtId="164" fontId="0" fillId="0" borderId="36" xfId="0" applyFont="1" applyBorder="1" applyAlignment="1" applyProtection="1">
      <alignment wrapText="1"/>
      <protection/>
    </xf>
    <xf numFmtId="166" fontId="0" fillId="0" borderId="34" xfId="0" applyNumberFormat="1" applyBorder="1" applyAlignment="1" applyProtection="1">
      <alignment horizontal="center" vertical="center" wrapText="1"/>
      <protection/>
    </xf>
    <xf numFmtId="166" fontId="0" fillId="16" borderId="34" xfId="0" applyNumberForma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/>
      <protection/>
    </xf>
    <xf numFmtId="164" fontId="0" fillId="0" borderId="35" xfId="0" applyFont="1" applyFill="1" applyBorder="1" applyAlignment="1" applyProtection="1">
      <alignment vertical="center" wrapText="1"/>
      <protection/>
    </xf>
    <xf numFmtId="166" fontId="0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Font="1" applyFill="1" applyBorder="1" applyAlignment="1" applyProtection="1">
      <alignment vertical="center" wrapText="1"/>
      <protection/>
    </xf>
    <xf numFmtId="165" fontId="0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Font="1" applyBorder="1" applyAlignment="1" applyProtection="1">
      <alignment vertical="center" wrapText="1"/>
      <protection/>
    </xf>
    <xf numFmtId="169" fontId="0" fillId="0" borderId="34" xfId="0" applyNumberFormat="1" applyFont="1" applyBorder="1" applyAlignment="1" applyProtection="1">
      <alignment horizontal="center" vertical="center" wrapText="1"/>
      <protection/>
    </xf>
    <xf numFmtId="164" fontId="0" fillId="0" borderId="36" xfId="0" applyFont="1" applyBorder="1" applyAlignment="1" applyProtection="1">
      <alignment vertical="center" wrapText="1"/>
      <protection/>
    </xf>
    <xf numFmtId="169" fontId="0" fillId="0" borderId="36" xfId="0" applyNumberFormat="1" applyFont="1" applyBorder="1" applyAlignment="1" applyProtection="1">
      <alignment horizontal="center" vertical="center" wrapText="1"/>
      <protection/>
    </xf>
    <xf numFmtId="164" fontId="19" fillId="16" borderId="37" xfId="0" applyFont="1" applyFill="1" applyBorder="1" applyAlignment="1" applyProtection="1">
      <alignment horizontal="center" vertical="center" wrapText="1"/>
      <protection/>
    </xf>
    <xf numFmtId="165" fontId="19" fillId="16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38" xfId="0" applyFont="1" applyBorder="1" applyAlignment="1" applyProtection="1">
      <alignment horizontal="center"/>
      <protection/>
    </xf>
    <xf numFmtId="165" fontId="0" fillId="0" borderId="35" xfId="0" applyNumberFormat="1" applyFont="1" applyBorder="1" applyAlignment="1" applyProtection="1">
      <alignment horizontal="center" vertical="center" wrapText="1"/>
      <protection/>
    </xf>
    <xf numFmtId="165" fontId="0" fillId="0" borderId="34" xfId="0" applyNumberFormat="1" applyFont="1" applyBorder="1" applyAlignment="1" applyProtection="1">
      <alignment horizontal="center" vertical="center" wrapText="1"/>
      <protection/>
    </xf>
    <xf numFmtId="166" fontId="18" fillId="24" borderId="0" xfId="0" applyNumberFormat="1" applyFont="1" applyFill="1" applyAlignment="1" applyProtection="1">
      <alignment horizontal="center"/>
      <protection/>
    </xf>
    <xf numFmtId="164" fontId="0" fillId="0" borderId="39" xfId="0" applyFont="1" applyBorder="1" applyAlignment="1" applyProtection="1">
      <alignment vertical="center" wrapText="1"/>
      <protection/>
    </xf>
    <xf numFmtId="165" fontId="19" fillId="16" borderId="40" xfId="0" applyNumberFormat="1" applyFont="1" applyFill="1" applyBorder="1" applyAlignment="1" applyProtection="1">
      <alignment horizontal="center" vertical="center" wrapText="1"/>
      <protection/>
    </xf>
    <xf numFmtId="166" fontId="24" fillId="24" borderId="0" xfId="0" applyNumberFormat="1" applyFont="1" applyFill="1" applyAlignment="1" applyProtection="1">
      <alignment horizontal="center"/>
      <protection/>
    </xf>
    <xf numFmtId="165" fontId="0" fillId="0" borderId="41" xfId="0" applyNumberFormat="1" applyFont="1" applyFill="1" applyBorder="1" applyAlignment="1" applyProtection="1">
      <alignment horizontal="center" vertical="center" wrapText="1"/>
      <protection/>
    </xf>
    <xf numFmtId="165" fontId="19" fillId="16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Font="1" applyBorder="1" applyAlignment="1" applyProtection="1">
      <alignment/>
      <protection/>
    </xf>
    <xf numFmtId="164" fontId="0" fillId="0" borderId="42" xfId="0" applyFont="1" applyBorder="1" applyAlignment="1" applyProtection="1">
      <alignment/>
      <protection/>
    </xf>
    <xf numFmtId="164" fontId="25" fillId="24" borderId="0" xfId="0" applyFont="1" applyFill="1" applyAlignment="1" applyProtection="1">
      <alignment horizontal="center"/>
      <protection/>
    </xf>
    <xf numFmtId="165" fontId="0" fillId="0" borderId="34" xfId="0" applyNumberFormat="1" applyFont="1" applyBorder="1" applyAlignment="1" applyProtection="1">
      <alignment horizontal="left" vertical="center" wrapText="1"/>
      <protection/>
    </xf>
    <xf numFmtId="164" fontId="19" fillId="16" borderId="10" xfId="0" applyFont="1" applyFill="1" applyBorder="1" applyAlignment="1" applyProtection="1">
      <alignment horizontal="center" vertical="center" wrapText="1"/>
      <protection/>
    </xf>
    <xf numFmtId="165" fontId="19" fillId="16" borderId="10" xfId="0" applyNumberFormat="1" applyFont="1" applyFill="1" applyBorder="1" applyAlignment="1" applyProtection="1">
      <alignment horizontal="center" vertical="center" wrapText="1"/>
      <protection/>
    </xf>
    <xf numFmtId="164" fontId="0" fillId="16" borderId="41" xfId="0" applyFont="1" applyFill="1" applyBorder="1" applyAlignment="1" applyProtection="1">
      <alignment horizontal="center" vertical="center" wrapText="1"/>
      <protection/>
    </xf>
    <xf numFmtId="165" fontId="0" fillId="16" borderId="41" xfId="0" applyNumberFormat="1" applyFont="1" applyFill="1" applyBorder="1" applyAlignment="1" applyProtection="1">
      <alignment horizontal="center" vertical="center" wrapText="1"/>
      <protection/>
    </xf>
    <xf numFmtId="165" fontId="0" fillId="16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Font="1" applyBorder="1" applyAlignment="1" applyProtection="1">
      <alignment vertical="center" wrapText="1"/>
      <protection/>
    </xf>
    <xf numFmtId="165" fontId="19" fillId="0" borderId="37" xfId="0" applyNumberFormat="1" applyFont="1" applyBorder="1" applyAlignment="1" applyProtection="1">
      <alignment horizontal="center" vertical="center" wrapText="1"/>
      <protection/>
    </xf>
    <xf numFmtId="170" fontId="18" fillId="24" borderId="0" xfId="0" applyNumberFormat="1" applyFont="1" applyFill="1" applyAlignment="1" applyProtection="1">
      <alignment horizontal="center"/>
      <protection/>
    </xf>
    <xf numFmtId="164" fontId="19" fillId="0" borderId="10" xfId="0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166" fontId="24" fillId="0" borderId="0" xfId="0" applyNumberFormat="1" applyFont="1" applyFill="1" applyAlignment="1" applyProtection="1">
      <alignment horizontal="center"/>
      <protection/>
    </xf>
    <xf numFmtId="164" fontId="0" fillId="24" borderId="0" xfId="0" applyFont="1" applyFill="1" applyAlignment="1" applyProtection="1">
      <alignment/>
      <protection/>
    </xf>
    <xf numFmtId="164" fontId="18" fillId="24" borderId="0" xfId="0" applyFont="1" applyFill="1" applyBorder="1" applyAlignment="1" applyProtection="1">
      <alignment horizontal="center"/>
      <protection/>
    </xf>
    <xf numFmtId="164" fontId="26" fillId="24" borderId="30" xfId="0" applyFont="1" applyFill="1" applyBorder="1" applyAlignment="1" applyProtection="1">
      <alignment horizontal="left" wrapText="1"/>
      <protection/>
    </xf>
    <xf numFmtId="164" fontId="27" fillId="24" borderId="0" xfId="0" applyFont="1" applyFill="1" applyAlignment="1" applyProtection="1">
      <alignment horizontal="center"/>
      <protection/>
    </xf>
    <xf numFmtId="164" fontId="27" fillId="24" borderId="0" xfId="0" applyFont="1" applyFill="1" applyAlignment="1" applyProtection="1">
      <alignment/>
      <protection/>
    </xf>
    <xf numFmtId="164" fontId="19" fillId="24" borderId="44" xfId="0" applyFont="1" applyFill="1" applyBorder="1" applyAlignment="1" applyProtection="1">
      <alignment horizontal="left" wrapText="1"/>
      <protection/>
    </xf>
    <xf numFmtId="164" fontId="0" fillId="24" borderId="44" xfId="0" applyFont="1" applyFill="1" applyBorder="1" applyAlignment="1" applyProtection="1">
      <alignment horizontal="left" wrapText="1"/>
      <protection/>
    </xf>
    <xf numFmtId="164" fontId="19" fillId="24" borderId="44" xfId="0" applyFont="1" applyFill="1" applyBorder="1" applyAlignment="1" applyProtection="1">
      <alignment horizontal="left" wrapText="1"/>
      <protection hidden="1"/>
    </xf>
    <xf numFmtId="164" fontId="19" fillId="24" borderId="44" xfId="0" applyFont="1" applyFill="1" applyBorder="1" applyAlignment="1" applyProtection="1">
      <alignment horizontal="left" vertical="top" wrapText="1"/>
      <protection/>
    </xf>
    <xf numFmtId="164" fontId="27" fillId="0" borderId="0" xfId="0" applyFont="1" applyFill="1" applyAlignment="1" applyProtection="1">
      <alignment/>
      <protection/>
    </xf>
    <xf numFmtId="164" fontId="19" fillId="0" borderId="44" xfId="0" applyFont="1" applyFill="1" applyBorder="1" applyAlignment="1" applyProtection="1">
      <alignment horizontal="left" vertical="top" wrapText="1"/>
      <protection/>
    </xf>
    <xf numFmtId="164" fontId="0" fillId="24" borderId="44" xfId="0" applyFont="1" applyFill="1" applyBorder="1" applyAlignment="1" applyProtection="1">
      <alignment horizontal="left" vertical="top" wrapText="1"/>
      <protection/>
    </xf>
    <xf numFmtId="164" fontId="19" fillId="24" borderId="44" xfId="0" applyFont="1" applyFill="1" applyBorder="1" applyAlignment="1" applyProtection="1">
      <alignment wrapText="1"/>
      <protection/>
    </xf>
    <xf numFmtId="164" fontId="0" fillId="24" borderId="0" xfId="0" applyFill="1" applyAlignment="1" applyProtection="1">
      <alignment/>
      <protection/>
    </xf>
    <xf numFmtId="164" fontId="0" fillId="24" borderId="0" xfId="0" applyFill="1" applyAlignment="1" applyProtection="1">
      <alignment horizontal="center"/>
      <protection/>
    </xf>
    <xf numFmtId="164" fontId="0" fillId="24" borderId="0" xfId="0" applyFill="1" applyAlignment="1">
      <alignment/>
    </xf>
    <xf numFmtId="164" fontId="0" fillId="24" borderId="45" xfId="0" applyFont="1" applyFill="1" applyBorder="1" applyAlignment="1" applyProtection="1">
      <alignment horizontal="left" wrapText="1"/>
      <protection/>
    </xf>
    <xf numFmtId="164" fontId="0" fillId="24" borderId="0" xfId="0" applyFill="1" applyAlignment="1">
      <alignment horizontal="center"/>
    </xf>
    <xf numFmtId="164" fontId="0" fillId="24" borderId="0" xfId="0" applyFont="1" applyFill="1" applyBorder="1" applyAlignment="1" applyProtection="1">
      <alignment horizontal="left"/>
      <protection/>
    </xf>
    <xf numFmtId="164" fontId="19" fillId="0" borderId="46" xfId="0" applyFont="1" applyBorder="1" applyAlignment="1">
      <alignment vertical="center"/>
    </xf>
    <xf numFmtId="164" fontId="0" fillId="0" borderId="0" xfId="0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47" xfId="0" applyFont="1" applyFill="1" applyBorder="1" applyAlignment="1">
      <alignment/>
    </xf>
    <xf numFmtId="164" fontId="19" fillId="6" borderId="10" xfId="0" applyFont="1" applyFill="1" applyBorder="1" applyAlignment="1">
      <alignment horizontal="center" vertical="center"/>
    </xf>
    <xf numFmtId="166" fontId="0" fillId="0" borderId="48" xfId="0" applyNumberFormat="1" applyFont="1" applyBorder="1" applyAlignment="1" applyProtection="1">
      <alignment horizontal="center" vertical="top" wrapText="1"/>
      <protection locked="0"/>
    </xf>
    <xf numFmtId="164" fontId="19" fillId="16" borderId="23" xfId="0" applyFont="1" applyFill="1" applyBorder="1" applyAlignment="1">
      <alignment vertical="center"/>
    </xf>
    <xf numFmtId="171" fontId="0" fillId="0" borderId="49" xfId="15" applyFont="1" applyFill="1" applyBorder="1" applyAlignment="1" applyProtection="1">
      <alignment/>
      <protection/>
    </xf>
    <xf numFmtId="171" fontId="0" fillId="0" borderId="26" xfId="0" applyNumberFormat="1" applyBorder="1" applyAlignment="1">
      <alignment/>
    </xf>
    <xf numFmtId="168" fontId="0" fillId="0" borderId="16" xfId="0" applyNumberFormat="1" applyFont="1" applyBorder="1" applyAlignment="1" applyProtection="1">
      <alignment horizontal="center"/>
      <protection locked="0"/>
    </xf>
    <xf numFmtId="164" fontId="19" fillId="16" borderId="14" xfId="0" applyFont="1" applyFill="1" applyBorder="1" applyAlignment="1">
      <alignment vertical="center"/>
    </xf>
    <xf numFmtId="171" fontId="0" fillId="0" borderId="16" xfId="15" applyFont="1" applyFill="1" applyBorder="1" applyAlignment="1" applyProtection="1">
      <alignment/>
      <protection/>
    </xf>
    <xf numFmtId="171" fontId="0" fillId="0" borderId="18" xfId="0" applyNumberFormat="1" applyBorder="1" applyAlignment="1">
      <alignment/>
    </xf>
    <xf numFmtId="168" fontId="0" fillId="0" borderId="50" xfId="0" applyNumberFormat="1" applyFont="1" applyBorder="1" applyAlignment="1" applyProtection="1">
      <alignment horizontal="center"/>
      <protection locked="0"/>
    </xf>
    <xf numFmtId="164" fontId="19" fillId="0" borderId="39" xfId="0" applyFont="1" applyBorder="1" applyAlignment="1" applyProtection="1">
      <alignment horizontal="center"/>
      <protection locked="0"/>
    </xf>
    <xf numFmtId="164" fontId="19" fillId="16" borderId="19" xfId="0" applyFont="1" applyFill="1" applyBorder="1" applyAlignment="1">
      <alignment vertical="center"/>
    </xf>
    <xf numFmtId="171" fontId="0" fillId="0" borderId="20" xfId="15" applyFont="1" applyFill="1" applyBorder="1" applyAlignment="1" applyProtection="1">
      <alignment/>
      <protection/>
    </xf>
    <xf numFmtId="171" fontId="0" fillId="0" borderId="22" xfId="0" applyNumberFormat="1" applyBorder="1" applyAlignment="1">
      <alignment/>
    </xf>
    <xf numFmtId="164" fontId="0" fillId="0" borderId="14" xfId="0" applyFont="1" applyBorder="1" applyAlignment="1" applyProtection="1">
      <alignment vertical="center" wrapText="1"/>
      <protection locked="0"/>
    </xf>
    <xf numFmtId="166" fontId="0" fillId="0" borderId="17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locked="0"/>
    </xf>
    <xf numFmtId="165" fontId="0" fillId="0" borderId="26" xfId="0" applyNumberFormat="1" applyFont="1" applyBorder="1" applyAlignment="1" applyProtection="1">
      <alignment horizontal="center"/>
      <protection locked="0"/>
    </xf>
    <xf numFmtId="164" fontId="26" fillId="24" borderId="30" xfId="0" applyFont="1" applyFill="1" applyBorder="1" applyAlignment="1" applyProtection="1">
      <alignment horizontal="left"/>
      <protection/>
    </xf>
    <xf numFmtId="164" fontId="18" fillId="24" borderId="51" xfId="0" applyFont="1" applyFill="1" applyBorder="1" applyAlignment="1">
      <alignment/>
    </xf>
    <xf numFmtId="164" fontId="0" fillId="24" borderId="51" xfId="0" applyFill="1" applyBorder="1" applyAlignment="1">
      <alignment/>
    </xf>
    <xf numFmtId="164" fontId="0" fillId="0" borderId="28" xfId="0" applyBorder="1" applyAlignment="1">
      <alignment/>
    </xf>
    <xf numFmtId="164" fontId="0" fillId="24" borderId="44" xfId="0" applyFill="1" applyBorder="1" applyAlignment="1">
      <alignment/>
    </xf>
    <xf numFmtId="164" fontId="0" fillId="24" borderId="0" xfId="0" applyFill="1" applyBorder="1" applyAlignment="1">
      <alignment/>
    </xf>
    <xf numFmtId="164" fontId="19" fillId="24" borderId="44" xfId="0" applyFont="1" applyFill="1" applyBorder="1" applyAlignment="1" applyProtection="1">
      <alignment horizontal="left"/>
      <protection/>
    </xf>
    <xf numFmtId="164" fontId="0" fillId="24" borderId="52" xfId="0" applyFill="1" applyBorder="1" applyAlignment="1">
      <alignment/>
    </xf>
    <xf numFmtId="164" fontId="0" fillId="0" borderId="44" xfId="0" applyBorder="1" applyAlignment="1">
      <alignment/>
    </xf>
    <xf numFmtId="164" fontId="0" fillId="24" borderId="45" xfId="0" applyFont="1" applyFill="1" applyBorder="1" applyAlignment="1" applyProtection="1">
      <alignment horizontal="left"/>
      <protection/>
    </xf>
    <xf numFmtId="164" fontId="0" fillId="24" borderId="25" xfId="0" applyFill="1" applyBorder="1" applyAlignment="1">
      <alignment/>
    </xf>
    <xf numFmtId="164" fontId="0" fillId="24" borderId="24" xfId="0" applyFill="1" applyBorder="1" applyAlignment="1">
      <alignment/>
    </xf>
    <xf numFmtId="164" fontId="19" fillId="0" borderId="0" xfId="0" applyFont="1" applyAlignment="1">
      <alignment/>
    </xf>
    <xf numFmtId="164" fontId="19" fillId="16" borderId="16" xfId="0" applyFont="1" applyFill="1" applyBorder="1" applyAlignment="1">
      <alignment vertical="center"/>
    </xf>
    <xf numFmtId="172" fontId="0" fillId="0" borderId="22" xfId="0" applyNumberFormat="1" applyFont="1" applyBorder="1" applyAlignment="1" applyProtection="1">
      <alignment horizontal="center" vertical="center" wrapText="1"/>
      <protection locked="0"/>
    </xf>
    <xf numFmtId="164" fontId="27" fillId="24" borderId="0" xfId="0" applyFont="1" applyFill="1" applyBorder="1" applyAlignment="1" applyProtection="1">
      <alignment vertical="center" wrapText="1"/>
      <protection locked="0"/>
    </xf>
    <xf numFmtId="165" fontId="27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32" xfId="0" applyFont="1" applyFill="1" applyBorder="1" applyAlignment="1">
      <alignment horizontal="center" vertical="center"/>
    </xf>
    <xf numFmtId="164" fontId="0" fillId="6" borderId="32" xfId="0" applyFont="1" applyFill="1" applyBorder="1" applyAlignment="1">
      <alignment horizontal="center" vertical="center" wrapText="1"/>
    </xf>
    <xf numFmtId="164" fontId="19" fillId="16" borderId="53" xfId="0" applyFont="1" applyFill="1" applyBorder="1" applyAlignment="1">
      <alignment vertical="center"/>
    </xf>
    <xf numFmtId="164" fontId="19" fillId="16" borderId="54" xfId="0" applyFont="1" applyFill="1" applyBorder="1" applyAlignment="1">
      <alignment/>
    </xf>
    <xf numFmtId="164" fontId="19" fillId="16" borderId="55" xfId="0" applyFont="1" applyFill="1" applyBorder="1" applyAlignment="1">
      <alignment/>
    </xf>
    <xf numFmtId="164" fontId="0" fillId="16" borderId="23" xfId="0" applyFont="1" applyFill="1" applyBorder="1" applyAlignment="1">
      <alignment vertical="center"/>
    </xf>
    <xf numFmtId="164" fontId="0" fillId="0" borderId="49" xfId="0" applyBorder="1" applyAlignment="1">
      <alignment/>
    </xf>
    <xf numFmtId="171" fontId="0" fillId="0" borderId="49" xfId="0" applyNumberFormat="1" applyBorder="1" applyAlignment="1">
      <alignment/>
    </xf>
    <xf numFmtId="164" fontId="0" fillId="0" borderId="26" xfId="0" applyBorder="1" applyAlignment="1">
      <alignment/>
    </xf>
    <xf numFmtId="164" fontId="19" fillId="24" borderId="0" xfId="0" applyFont="1" applyFill="1" applyAlignment="1" applyProtection="1">
      <alignment/>
      <protection/>
    </xf>
    <xf numFmtId="173" fontId="0" fillId="0" borderId="49" xfId="0" applyNumberFormat="1" applyBorder="1" applyAlignment="1">
      <alignment/>
    </xf>
    <xf numFmtId="164" fontId="0" fillId="6" borderId="56" xfId="0" applyFill="1" applyBorder="1" applyAlignment="1">
      <alignment/>
    </xf>
    <xf numFmtId="164" fontId="19" fillId="6" borderId="20" xfId="0" applyFont="1" applyFill="1" applyBorder="1" applyAlignment="1">
      <alignment horizontal="right" vertical="center"/>
    </xf>
    <xf numFmtId="164" fontId="19" fillId="0" borderId="57" xfId="0" applyFont="1" applyBorder="1" applyAlignment="1">
      <alignment/>
    </xf>
    <xf numFmtId="164" fontId="0" fillId="0" borderId="16" xfId="0" applyBorder="1" applyAlignment="1">
      <alignment/>
    </xf>
    <xf numFmtId="171" fontId="0" fillId="0" borderId="16" xfId="0" applyNumberFormat="1" applyBorder="1" applyAlignment="1">
      <alignment/>
    </xf>
    <xf numFmtId="164" fontId="0" fillId="0" borderId="18" xfId="0" applyBorder="1" applyAlignment="1">
      <alignment/>
    </xf>
    <xf numFmtId="165" fontId="0" fillId="0" borderId="35" xfId="0" applyNumberFormat="1" applyFont="1" applyBorder="1" applyAlignment="1" applyProtection="1">
      <alignment vertical="center" wrapText="1"/>
      <protection/>
    </xf>
    <xf numFmtId="166" fontId="19" fillId="16" borderId="50" xfId="0" applyNumberFormat="1" applyFont="1" applyFill="1" applyBorder="1" applyAlignment="1" applyProtection="1">
      <alignment horizontal="center" vertical="center" wrapText="1"/>
      <protection/>
    </xf>
    <xf numFmtId="165" fontId="0" fillId="0" borderId="38" xfId="0" applyNumberFormat="1" applyFont="1" applyBorder="1" applyAlignment="1" applyProtection="1">
      <alignment horizontal="center" vertical="center" wrapText="1"/>
      <protection/>
    </xf>
    <xf numFmtId="164" fontId="19" fillId="6" borderId="19" xfId="0" applyFont="1" applyFill="1" applyBorder="1" applyAlignment="1">
      <alignment horizontal="right" vertical="center"/>
    </xf>
    <xf numFmtId="164" fontId="0" fillId="6" borderId="10" xfId="0" applyFont="1" applyFill="1" applyBorder="1" applyAlignment="1" applyProtection="1">
      <alignment horizontal="center" vertical="center" wrapText="1"/>
      <protection/>
    </xf>
    <xf numFmtId="165" fontId="0" fillId="0" borderId="58" xfId="0" applyNumberFormat="1" applyFont="1" applyBorder="1" applyAlignment="1" applyProtection="1">
      <alignment horizontal="center" vertical="center" wrapText="1"/>
      <protection/>
    </xf>
    <xf numFmtId="164" fontId="19" fillId="16" borderId="49" xfId="0" applyFont="1" applyFill="1" applyBorder="1" applyAlignment="1">
      <alignment/>
    </xf>
    <xf numFmtId="166" fontId="18" fillId="24" borderId="0" xfId="0" applyNumberFormat="1" applyFont="1" applyFill="1" applyAlignment="1" applyProtection="1">
      <alignment/>
      <protection/>
    </xf>
    <xf numFmtId="164" fontId="0" fillId="16" borderId="49" xfId="0" applyFont="1" applyFill="1" applyBorder="1" applyAlignment="1">
      <alignment vertical="center"/>
    </xf>
    <xf numFmtId="174" fontId="0" fillId="0" borderId="16" xfId="0" applyNumberFormat="1" applyBorder="1" applyAlignment="1">
      <alignment horizontal="center"/>
    </xf>
    <xf numFmtId="175" fontId="0" fillId="0" borderId="16" xfId="0" applyNumberFormat="1" applyBorder="1" applyAlignment="1">
      <alignment/>
    </xf>
    <xf numFmtId="176" fontId="0" fillId="0" borderId="16" xfId="0" applyNumberFormat="1" applyBorder="1" applyAlignment="1">
      <alignment/>
    </xf>
    <xf numFmtId="177" fontId="0" fillId="0" borderId="16" xfId="0" applyNumberFormat="1" applyBorder="1" applyAlignment="1">
      <alignment/>
    </xf>
    <xf numFmtId="164" fontId="0" fillId="6" borderId="49" xfId="0" applyFill="1" applyBorder="1" applyAlignment="1">
      <alignment vertical="center"/>
    </xf>
    <xf numFmtId="164" fontId="0" fillId="6" borderId="49" xfId="0" applyFill="1" applyBorder="1" applyAlignment="1">
      <alignment/>
    </xf>
    <xf numFmtId="164" fontId="19" fillId="6" borderId="49" xfId="0" applyFont="1" applyFill="1" applyBorder="1" applyAlignment="1">
      <alignment horizontal="right" vertical="center"/>
    </xf>
    <xf numFmtId="164" fontId="19" fillId="0" borderId="49" xfId="0" applyFont="1" applyBorder="1" applyAlignment="1">
      <alignment/>
    </xf>
    <xf numFmtId="164" fontId="19" fillId="16" borderId="49" xfId="0" applyFont="1" applyFill="1" applyBorder="1" applyAlignment="1">
      <alignment horizontal="center"/>
    </xf>
    <xf numFmtId="165" fontId="0" fillId="0" borderId="58" xfId="0" applyNumberFormat="1" applyFont="1" applyFill="1" applyBorder="1" applyAlignment="1" applyProtection="1">
      <alignment horizontal="center" vertical="center" wrapText="1"/>
      <protection/>
    </xf>
    <xf numFmtId="176" fontId="19" fillId="0" borderId="49" xfId="0" applyNumberFormat="1" applyFont="1" applyBorder="1" applyAlignment="1">
      <alignment/>
    </xf>
    <xf numFmtId="164" fontId="19" fillId="0" borderId="39" xfId="0" applyFont="1" applyBorder="1" applyAlignment="1" applyProtection="1">
      <alignment horizontal="center" vertical="center" wrapText="1"/>
      <protection/>
    </xf>
    <xf numFmtId="165" fontId="0" fillId="0" borderId="47" xfId="0" applyNumberFormat="1" applyFont="1" applyBorder="1" applyAlignment="1" applyProtection="1">
      <alignment horizontal="center" vertical="center" wrapText="1"/>
      <protection/>
    </xf>
    <xf numFmtId="164" fontId="0" fillId="6" borderId="10" xfId="0" applyFont="1" applyFill="1" applyBorder="1" applyAlignment="1">
      <alignment horizontal="center" vertical="center"/>
    </xf>
    <xf numFmtId="164" fontId="0" fillId="6" borderId="10" xfId="0" applyFont="1" applyFill="1" applyBorder="1" applyAlignment="1">
      <alignment horizontal="center" vertical="center" wrapText="1"/>
    </xf>
    <xf numFmtId="164" fontId="25" fillId="24" borderId="0" xfId="0" applyFont="1" applyFill="1" applyAlignment="1" applyProtection="1">
      <alignment/>
      <protection/>
    </xf>
    <xf numFmtId="164" fontId="19" fillId="16" borderId="49" xfId="0" applyFont="1" applyFill="1" applyBorder="1" applyAlignment="1">
      <alignment vertical="center"/>
    </xf>
    <xf numFmtId="170" fontId="19" fillId="0" borderId="49" xfId="0" applyNumberFormat="1" applyFont="1" applyFill="1" applyBorder="1" applyAlignment="1">
      <alignment horizontal="right"/>
    </xf>
    <xf numFmtId="171" fontId="19" fillId="0" borderId="49" xfId="0" applyNumberFormat="1" applyFont="1" applyFill="1" applyBorder="1" applyAlignment="1">
      <alignment horizontal="center"/>
    </xf>
    <xf numFmtId="164" fontId="19" fillId="0" borderId="49" xfId="0" applyFont="1" applyFill="1" applyBorder="1" applyAlignment="1">
      <alignment horizontal="center"/>
    </xf>
    <xf numFmtId="165" fontId="19" fillId="16" borderId="59" xfId="0" applyNumberFormat="1" applyFont="1" applyFill="1" applyBorder="1" applyAlignment="1" applyProtection="1">
      <alignment horizontal="center" vertical="center" wrapText="1"/>
      <protection/>
    </xf>
    <xf numFmtId="171" fontId="0" fillId="24" borderId="0" xfId="0" applyNumberFormat="1" applyFill="1" applyAlignment="1">
      <alignment/>
    </xf>
    <xf numFmtId="164" fontId="0" fillId="16" borderId="13" xfId="0" applyFont="1" applyFill="1" applyBorder="1" applyAlignment="1" applyProtection="1">
      <alignment horizontal="center" vertical="center" wrapText="1"/>
      <protection/>
    </xf>
    <xf numFmtId="165" fontId="0" fillId="0" borderId="37" xfId="0" applyNumberFormat="1" applyFont="1" applyBorder="1" applyAlignment="1" applyProtection="1">
      <alignment horizontal="center" vertical="center" wrapText="1"/>
      <protection/>
    </xf>
    <xf numFmtId="164" fontId="19" fillId="6" borderId="16" xfId="0" applyFont="1" applyFill="1" applyBorder="1" applyAlignment="1">
      <alignment horizontal="center" vertical="center"/>
    </xf>
    <xf numFmtId="171" fontId="19" fillId="0" borderId="16" xfId="0" applyNumberFormat="1" applyFont="1" applyFill="1" applyBorder="1" applyAlignment="1">
      <alignment/>
    </xf>
    <xf numFmtId="164" fontId="0" fillId="24" borderId="28" xfId="0" applyFill="1" applyBorder="1" applyAlignment="1">
      <alignment/>
    </xf>
    <xf numFmtId="164" fontId="0" fillId="24" borderId="28" xfId="0" applyFont="1" applyFill="1" applyBorder="1" applyAlignment="1" applyProtection="1">
      <alignment/>
      <protection/>
    </xf>
    <xf numFmtId="164" fontId="19" fillId="0" borderId="44" xfId="0" applyFont="1" applyBorder="1" applyAlignment="1">
      <alignment/>
    </xf>
    <xf numFmtId="164" fontId="18" fillId="24" borderId="0" xfId="0" applyFont="1" applyFill="1" applyBorder="1" applyAlignment="1" applyProtection="1">
      <alignment/>
      <protection/>
    </xf>
    <xf numFmtId="164" fontId="18" fillId="24" borderId="52" xfId="0" applyFont="1" applyFill="1" applyBorder="1" applyAlignment="1" applyProtection="1">
      <alignment/>
      <protection/>
    </xf>
    <xf numFmtId="164" fontId="0" fillId="24" borderId="44" xfId="0" applyFont="1" applyFill="1" applyBorder="1" applyAlignment="1" applyProtection="1">
      <alignment horizontal="left"/>
      <protection/>
    </xf>
    <xf numFmtId="164" fontId="0" fillId="24" borderId="52" xfId="0" applyFont="1" applyFill="1" applyBorder="1" applyAlignment="1" applyProtection="1">
      <alignment/>
      <protection/>
    </xf>
    <xf numFmtId="164" fontId="0" fillId="24" borderId="0" xfId="0" applyFill="1" applyBorder="1" applyAlignment="1" applyProtection="1">
      <alignment/>
      <protection/>
    </xf>
    <xf numFmtId="164" fontId="19" fillId="24" borderId="44" xfId="0" applyFont="1" applyFill="1" applyBorder="1" applyAlignment="1" applyProtection="1">
      <alignment/>
      <protection/>
    </xf>
    <xf numFmtId="164" fontId="0" fillId="24" borderId="44" xfId="0" applyFont="1" applyFill="1" applyBorder="1" applyAlignment="1" applyProtection="1">
      <alignment/>
      <protection/>
    </xf>
    <xf numFmtId="164" fontId="0" fillId="24" borderId="45" xfId="0" applyFont="1" applyFill="1" applyBorder="1" applyAlignment="1" applyProtection="1">
      <alignment/>
      <protection/>
    </xf>
    <xf numFmtId="164" fontId="18" fillId="24" borderId="25" xfId="0" applyFont="1" applyFill="1" applyBorder="1" applyAlignment="1" applyProtection="1">
      <alignment/>
      <protection/>
    </xf>
    <xf numFmtId="164" fontId="18" fillId="24" borderId="24" xfId="0" applyFont="1" applyFill="1" applyBorder="1" applyAlignment="1" applyProtection="1">
      <alignment/>
      <protection/>
    </xf>
    <xf numFmtId="164" fontId="19" fillId="24" borderId="45" xfId="0" applyFont="1" applyFill="1" applyBorder="1" applyAlignment="1" applyProtection="1">
      <alignment horizontal="left"/>
      <protection/>
    </xf>
    <xf numFmtId="164" fontId="0" fillId="24" borderId="24" xfId="0" applyFont="1" applyFill="1" applyBorder="1" applyAlignment="1" applyProtection="1">
      <alignment/>
      <protection/>
    </xf>
    <xf numFmtId="168" fontId="29" fillId="16" borderId="22" xfId="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vertical="center" wrapText="1"/>
      <protection locked="0"/>
    </xf>
    <xf numFmtId="172" fontId="0" fillId="0" borderId="0" xfId="0" applyNumberFormat="1" applyFont="1" applyBorder="1" applyAlignment="1" applyProtection="1">
      <alignment horizontal="center" vertical="center" wrapText="1"/>
      <protection locked="0"/>
    </xf>
    <xf numFmtId="169" fontId="0" fillId="0" borderId="60" xfId="0" applyNumberFormat="1" applyFont="1" applyBorder="1" applyAlignment="1" applyProtection="1">
      <alignment horizontal="center" vertical="center" wrapText="1"/>
      <protection/>
    </xf>
    <xf numFmtId="165" fontId="19" fillId="16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0" applyFont="1" applyBorder="1" applyAlignment="1" applyProtection="1">
      <alignment horizontal="center" vertical="top" wrapText="1"/>
      <protection locked="0"/>
    </xf>
    <xf numFmtId="166" fontId="22" fillId="24" borderId="0" xfId="0" applyNumberFormat="1" applyFont="1" applyFill="1" applyAlignment="1" applyProtection="1">
      <alignment/>
      <protection/>
    </xf>
    <xf numFmtId="165" fontId="0" fillId="16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46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ítulo_modelo_planilhas_padrao_vig_e_serv_2008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19050</xdr:colOff>
      <xdr:row>32</xdr:row>
      <xdr:rowOff>200025</xdr:rowOff>
    </xdr:to>
    <xdr:sp fLocksText="0">
      <xdr:nvSpPr>
        <xdr:cNvPr id="1" name="Text 13"/>
        <xdr:cNvSpPr txBox="1">
          <a:spLocks noChangeArrowheads="1"/>
        </xdr:cNvSpPr>
      </xdr:nvSpPr>
      <xdr:spPr>
        <a:xfrm>
          <a:off x="7810500" y="65532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34</xdr:row>
      <xdr:rowOff>0</xdr:rowOff>
    </xdr:from>
    <xdr:to>
      <xdr:col>11</xdr:col>
      <xdr:colOff>47625</xdr:colOff>
      <xdr:row>34</xdr:row>
      <xdr:rowOff>200025</xdr:rowOff>
    </xdr:to>
    <xdr:sp fLocksText="0">
      <xdr:nvSpPr>
        <xdr:cNvPr id="2" name="Text 14"/>
        <xdr:cNvSpPr txBox="1">
          <a:spLocks noChangeArrowheads="1"/>
        </xdr:cNvSpPr>
      </xdr:nvSpPr>
      <xdr:spPr>
        <a:xfrm>
          <a:off x="16602075" y="69818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zoomScale="78" zoomScaleNormal="78" workbookViewId="0" topLeftCell="A1">
      <selection activeCell="D65" sqref="D65"/>
    </sheetView>
  </sheetViews>
  <sheetFormatPr defaultColWidth="11.421875" defaultRowHeight="12.75"/>
  <cols>
    <col min="1" max="1" width="5.7109375" style="1" customWidth="1"/>
    <col min="2" max="2" width="50.7109375" style="1" customWidth="1"/>
    <col min="3" max="3" width="13.7109375" style="1" customWidth="1"/>
    <col min="4" max="4" width="12.7109375" style="1" customWidth="1"/>
    <col min="5" max="5" width="15.7109375" style="1" customWidth="1"/>
    <col min="6" max="6" width="20.57421875" style="2" customWidth="1"/>
    <col min="7" max="16384" width="11.421875" style="1" customWidth="1"/>
  </cols>
  <sheetData>
    <row r="2" spans="2:5" ht="24.75" customHeight="1">
      <c r="B2" s="3" t="s">
        <v>0</v>
      </c>
      <c r="C2" s="3" t="s">
        <v>1</v>
      </c>
      <c r="D2" s="3" t="s">
        <v>2</v>
      </c>
      <c r="E2" s="4" t="s">
        <v>3</v>
      </c>
    </row>
    <row r="3" spans="2:5" ht="15.75" customHeight="1">
      <c r="B3" s="5" t="s">
        <v>4</v>
      </c>
      <c r="C3" s="5"/>
      <c r="D3" s="5"/>
      <c r="E3" s="5"/>
    </row>
    <row r="4" spans="2:5" ht="15.75" customHeight="1">
      <c r="B4" s="6" t="s">
        <v>5</v>
      </c>
      <c r="C4" s="6"/>
      <c r="D4" s="6"/>
      <c r="E4" s="6"/>
    </row>
    <row r="5" spans="2:5" ht="15.75" customHeight="1">
      <c r="B5" s="7" t="s">
        <v>6</v>
      </c>
      <c r="C5" s="8">
        <v>867.31</v>
      </c>
      <c r="D5" s="9">
        <v>867.31</v>
      </c>
      <c r="E5" s="10">
        <v>0</v>
      </c>
    </row>
    <row r="6" spans="2:5" ht="15.75" customHeight="1">
      <c r="B6" s="7" t="s">
        <v>7</v>
      </c>
      <c r="C6" s="9">
        <v>94.8</v>
      </c>
      <c r="D6" s="11"/>
      <c r="E6" s="12"/>
    </row>
    <row r="7" spans="2:5" ht="15.75" customHeight="1">
      <c r="B7" s="13" t="s">
        <v>8</v>
      </c>
      <c r="C7" s="14"/>
      <c r="D7" s="14"/>
      <c r="E7" s="15"/>
    </row>
    <row r="8" spans="2:5" ht="15.75" customHeight="1">
      <c r="B8" s="16" t="s">
        <v>9</v>
      </c>
      <c r="C8" s="17">
        <v>50</v>
      </c>
      <c r="D8" s="17">
        <v>50</v>
      </c>
      <c r="E8" s="12"/>
    </row>
    <row r="9" spans="2:5" ht="15.75" customHeight="1">
      <c r="B9" s="13" t="s">
        <v>10</v>
      </c>
      <c r="C9" s="17">
        <v>0</v>
      </c>
      <c r="D9" s="17">
        <v>0</v>
      </c>
      <c r="E9" s="18">
        <v>0</v>
      </c>
    </row>
    <row r="10" spans="2:5" ht="15.75" customHeight="1">
      <c r="B10" s="13" t="s">
        <v>11</v>
      </c>
      <c r="C10" s="14">
        <v>0</v>
      </c>
      <c r="D10" s="14">
        <v>0</v>
      </c>
      <c r="E10" s="15">
        <v>0</v>
      </c>
    </row>
    <row r="11" spans="2:5" ht="15.75" customHeight="1">
      <c r="B11" s="7" t="s">
        <v>12</v>
      </c>
      <c r="C11" s="19">
        <v>2</v>
      </c>
      <c r="D11" s="20">
        <v>2</v>
      </c>
      <c r="E11" s="21">
        <v>0</v>
      </c>
    </row>
    <row r="12" spans="2:5" ht="15.75" customHeight="1">
      <c r="B12" s="22" t="s">
        <v>13</v>
      </c>
      <c r="C12" s="23">
        <v>2</v>
      </c>
      <c r="D12" s="24">
        <v>3</v>
      </c>
      <c r="E12" s="25">
        <v>0</v>
      </c>
    </row>
    <row r="13" spans="2:5" ht="15.75" customHeight="1">
      <c r="B13" s="26" t="s">
        <v>14</v>
      </c>
      <c r="C13" s="26"/>
      <c r="D13" s="26"/>
      <c r="E13" s="26"/>
    </row>
    <row r="14" spans="2:5" ht="15.75" customHeight="1">
      <c r="B14" s="27" t="s">
        <v>15</v>
      </c>
      <c r="C14" s="28">
        <v>38.06</v>
      </c>
      <c r="D14" s="29">
        <v>38.06</v>
      </c>
      <c r="E14" s="30">
        <v>0</v>
      </c>
    </row>
    <row r="15" spans="2:5" ht="15.75" customHeight="1">
      <c r="B15" s="7" t="s">
        <v>16</v>
      </c>
      <c r="C15" s="9">
        <v>3.9</v>
      </c>
      <c r="D15" s="8">
        <v>3.9</v>
      </c>
      <c r="E15" s="31">
        <v>0</v>
      </c>
    </row>
    <row r="16" spans="2:5" ht="15.75" customHeight="1">
      <c r="B16" s="7" t="s">
        <v>17</v>
      </c>
      <c r="C16" s="9">
        <v>10</v>
      </c>
      <c r="D16" s="8">
        <v>10</v>
      </c>
      <c r="E16" s="31">
        <v>0</v>
      </c>
    </row>
    <row r="17" spans="2:5" ht="15.75" customHeight="1">
      <c r="B17" s="7" t="s">
        <v>18</v>
      </c>
      <c r="C17" s="9">
        <v>0</v>
      </c>
      <c r="D17" s="8">
        <v>0</v>
      </c>
      <c r="E17" s="31">
        <v>0</v>
      </c>
    </row>
    <row r="18" spans="2:5" ht="15.75" customHeight="1">
      <c r="B18" s="7" t="s">
        <v>19</v>
      </c>
      <c r="C18" s="9">
        <v>8</v>
      </c>
      <c r="D18" s="8">
        <v>8</v>
      </c>
      <c r="E18" s="31">
        <v>0</v>
      </c>
    </row>
    <row r="19" spans="2:5" ht="15.75" customHeight="1">
      <c r="B19" s="32" t="s">
        <v>20</v>
      </c>
      <c r="C19" s="33">
        <v>0</v>
      </c>
      <c r="D19" s="33">
        <v>0</v>
      </c>
      <c r="E19" s="33">
        <v>0</v>
      </c>
    </row>
    <row r="20" spans="2:5" ht="15.75" customHeight="1">
      <c r="B20" s="22" t="s">
        <v>21</v>
      </c>
      <c r="C20" s="34">
        <v>0</v>
      </c>
      <c r="D20" s="35">
        <v>0</v>
      </c>
      <c r="E20" s="36">
        <v>0</v>
      </c>
    </row>
    <row r="21" spans="2:5" ht="15.75" customHeight="1">
      <c r="B21" s="26" t="s">
        <v>22</v>
      </c>
      <c r="C21" s="26"/>
      <c r="D21" s="26"/>
      <c r="E21" s="26"/>
    </row>
    <row r="22" spans="2:5" ht="15.75" customHeight="1">
      <c r="B22" s="37" t="s">
        <v>23</v>
      </c>
      <c r="C22" s="38">
        <v>65</v>
      </c>
      <c r="D22" s="39">
        <v>65</v>
      </c>
      <c r="E22" s="40">
        <v>0</v>
      </c>
    </row>
    <row r="23" spans="2:5" ht="15.75" customHeight="1">
      <c r="B23" s="41" t="s">
        <v>24</v>
      </c>
      <c r="C23" s="41"/>
      <c r="D23" s="41"/>
      <c r="E23" s="41"/>
    </row>
    <row r="24" spans="2:5" ht="15.75" customHeight="1">
      <c r="B24" s="42" t="s">
        <v>25</v>
      </c>
      <c r="C24" s="43">
        <v>5</v>
      </c>
      <c r="D24" s="44">
        <v>5</v>
      </c>
      <c r="E24" s="45">
        <v>0</v>
      </c>
    </row>
    <row r="25" ht="15.75" customHeight="1">
      <c r="B25" s="46"/>
    </row>
    <row r="26" spans="2:6" s="47" customFormat="1" ht="15" customHeight="1">
      <c r="B26" s="48" t="s">
        <v>26</v>
      </c>
      <c r="F26" s="49"/>
    </row>
    <row r="27" spans="2:6" s="47" customFormat="1" ht="15" customHeight="1">
      <c r="B27" s="48" t="s">
        <v>27</v>
      </c>
      <c r="E27" s="50" t="s">
        <v>28</v>
      </c>
      <c r="F27" s="49"/>
    </row>
    <row r="28" spans="2:6" s="47" customFormat="1" ht="2.25" customHeight="1">
      <c r="B28" s="48" t="s">
        <v>29</v>
      </c>
      <c r="C28" s="51"/>
      <c r="D28" s="51"/>
      <c r="E28" s="52"/>
      <c r="F28" s="49"/>
    </row>
    <row r="29" spans="2:6" s="47" customFormat="1" ht="18.75" customHeight="1">
      <c r="B29" s="53" t="s">
        <v>30</v>
      </c>
      <c r="C29" s="53" t="s">
        <v>31</v>
      </c>
      <c r="D29" s="53" t="s">
        <v>32</v>
      </c>
      <c r="E29" s="53" t="s">
        <v>33</v>
      </c>
      <c r="F29" s="49"/>
    </row>
    <row r="30" spans="2:6" s="47" customFormat="1" ht="13.5" customHeight="1">
      <c r="B30" s="53"/>
      <c r="C30" s="53"/>
      <c r="D30" s="53"/>
      <c r="E30" s="53"/>
      <c r="F30" s="49"/>
    </row>
    <row r="31" spans="2:6" s="47" customFormat="1" ht="14.25" customHeight="1">
      <c r="B31" s="54" t="s">
        <v>34</v>
      </c>
      <c r="C31" s="55"/>
      <c r="D31" s="56"/>
      <c r="E31" s="56"/>
      <c r="F31" s="49"/>
    </row>
    <row r="32" spans="2:6" s="57" customFormat="1" ht="15" customHeight="1">
      <c r="B32" s="58" t="s">
        <v>35</v>
      </c>
      <c r="C32" s="59">
        <f>$C$5</f>
        <v>867.31</v>
      </c>
      <c r="D32" s="59">
        <f>$D$5</f>
        <v>867.31</v>
      </c>
      <c r="E32" s="59">
        <f>$E$5</f>
        <v>0</v>
      </c>
      <c r="F32" s="51"/>
    </row>
    <row r="33" spans="2:6" s="47" customFormat="1" ht="15" customHeight="1">
      <c r="B33" s="60" t="s">
        <v>36</v>
      </c>
      <c r="C33" s="61">
        <f>$C$6</f>
        <v>94.8</v>
      </c>
      <c r="D33" s="62"/>
      <c r="E33" s="62"/>
      <c r="F33" s="49"/>
    </row>
    <row r="34" spans="2:6" s="47" customFormat="1" ht="15" customHeight="1">
      <c r="B34" s="63" t="s">
        <v>37</v>
      </c>
      <c r="C34" s="59">
        <f>C7</f>
        <v>0</v>
      </c>
      <c r="D34" s="59">
        <f>D7</f>
        <v>0</v>
      </c>
      <c r="E34" s="59">
        <f>E7</f>
        <v>0</v>
      </c>
      <c r="F34" s="49"/>
    </row>
    <row r="35" spans="2:6" s="47" customFormat="1" ht="15" customHeight="1">
      <c r="B35" s="64" t="s">
        <v>38</v>
      </c>
      <c r="C35" s="65">
        <f>IF(C8&gt;0,(((C5/220)*(1+C8%))*15),0)</f>
        <v>88.70215909090908</v>
      </c>
      <c r="D35" s="65">
        <f>IF(D8&gt;0,(((D5/220)*(1+D8%))*15),0)</f>
        <v>88.70215909090908</v>
      </c>
      <c r="E35" s="66"/>
      <c r="F35" s="49"/>
    </row>
    <row r="36" spans="2:5" s="47" customFormat="1" ht="15" customHeight="1">
      <c r="B36" s="63" t="s">
        <v>39</v>
      </c>
      <c r="C36" s="59">
        <f>C10</f>
        <v>0</v>
      </c>
      <c r="D36" s="59">
        <f>D10</f>
        <v>0</v>
      </c>
      <c r="E36" s="59">
        <f>E10</f>
        <v>0</v>
      </c>
    </row>
    <row r="37" spans="1:5" s="47" customFormat="1" ht="15" customHeight="1">
      <c r="A37" s="67"/>
      <c r="B37" s="68" t="s">
        <v>40</v>
      </c>
      <c r="C37" s="69">
        <f>C5*C9%</f>
        <v>0</v>
      </c>
      <c r="D37" s="69">
        <f>D5*D9%</f>
        <v>0</v>
      </c>
      <c r="E37" s="69">
        <f>+E5*E9%</f>
        <v>0</v>
      </c>
    </row>
    <row r="38" spans="1:5" s="47" customFormat="1" ht="15" customHeight="1">
      <c r="A38" s="67"/>
      <c r="B38" s="70" t="s">
        <v>41</v>
      </c>
      <c r="C38" s="71">
        <f>SUM(C32:C37)*0.7436</f>
        <v>781.3839215</v>
      </c>
      <c r="D38" s="71">
        <f>SUM(D32:D36)*0.7436</f>
        <v>710.8906415</v>
      </c>
      <c r="E38" s="71">
        <f>SUM(E32:E36)*0.7211</f>
        <v>0</v>
      </c>
    </row>
    <row r="39" spans="1:5" s="57" customFormat="1" ht="15" customHeight="1">
      <c r="A39" s="47"/>
      <c r="B39" s="72" t="s">
        <v>42</v>
      </c>
      <c r="C39" s="73">
        <f>$C$11</f>
        <v>2</v>
      </c>
      <c r="D39" s="73">
        <f>D$11</f>
        <v>2</v>
      </c>
      <c r="E39" s="73">
        <f>E$11</f>
        <v>0</v>
      </c>
    </row>
    <row r="40" spans="2:6" s="47" customFormat="1" ht="15" customHeight="1">
      <c r="B40" s="74" t="s">
        <v>13</v>
      </c>
      <c r="C40" s="75">
        <f>$C$12</f>
        <v>2</v>
      </c>
      <c r="D40" s="75">
        <f>D$12</f>
        <v>3</v>
      </c>
      <c r="E40" s="75">
        <f>E$12</f>
        <v>0</v>
      </c>
      <c r="F40" s="49"/>
    </row>
    <row r="41" spans="2:6" s="47" customFormat="1" ht="19.5" customHeight="1">
      <c r="B41" s="76" t="s">
        <v>43</v>
      </c>
      <c r="C41" s="77">
        <f>SUM(C32:C38)*C39</f>
        <v>3664.392161181818</v>
      </c>
      <c r="D41" s="77">
        <f>SUM(D32:D38)*D39</f>
        <v>3333.805601181818</v>
      </c>
      <c r="E41" s="77">
        <f>SUM(E32:E38)*E39</f>
        <v>0</v>
      </c>
      <c r="F41" s="49"/>
    </row>
    <row r="42" spans="2:6" s="47" customFormat="1" ht="15.75" customHeight="1">
      <c r="B42" s="78" t="s">
        <v>44</v>
      </c>
      <c r="C42" s="79"/>
      <c r="D42" s="79"/>
      <c r="E42" s="79"/>
      <c r="F42" s="49"/>
    </row>
    <row r="43" spans="2:6" s="47" customFormat="1" ht="15" customHeight="1">
      <c r="B43" s="60" t="s">
        <v>45</v>
      </c>
      <c r="C43" s="79">
        <f>C11*C14</f>
        <v>76.12</v>
      </c>
      <c r="D43" s="79">
        <f>D11*D14</f>
        <v>76.12</v>
      </c>
      <c r="E43" s="79">
        <f>E11*E14</f>
        <v>0</v>
      </c>
      <c r="F43" s="49"/>
    </row>
    <row r="44" spans="2:6" s="47" customFormat="1" ht="15" customHeight="1">
      <c r="B44" s="72" t="s">
        <v>46</v>
      </c>
      <c r="C44" s="80">
        <f>(C$15*30)-(0.06*C32*C11)</f>
        <v>12.92280000000001</v>
      </c>
      <c r="D44" s="80">
        <f>(D$15*30)-(0.06*D32*D11)</f>
        <v>12.92280000000001</v>
      </c>
      <c r="E44" s="80">
        <f>(E$15*22-(0.06*E32))</f>
        <v>0</v>
      </c>
      <c r="F44" s="49"/>
    </row>
    <row r="45" spans="2:6" s="47" customFormat="1" ht="15" customHeight="1">
      <c r="B45" s="72" t="s">
        <v>47</v>
      </c>
      <c r="C45" s="80">
        <f>$C$16*30</f>
        <v>300</v>
      </c>
      <c r="D45" s="80">
        <f>$D$16*30</f>
        <v>300</v>
      </c>
      <c r="E45" s="80">
        <f>$E$16*22</f>
        <v>0</v>
      </c>
      <c r="F45" s="49"/>
    </row>
    <row r="46" spans="2:6" s="47" customFormat="1" ht="15" customHeight="1">
      <c r="B46" s="72" t="s">
        <v>48</v>
      </c>
      <c r="C46" s="80">
        <f>C11*C17</f>
        <v>0</v>
      </c>
      <c r="D46" s="80">
        <f>D11*D17</f>
        <v>0</v>
      </c>
      <c r="E46" s="80">
        <f>E11*E17</f>
        <v>0</v>
      </c>
      <c r="F46" s="49"/>
    </row>
    <row r="47" spans="2:6" s="47" customFormat="1" ht="15" customHeight="1">
      <c r="B47" s="72" t="s">
        <v>49</v>
      </c>
      <c r="C47" s="80">
        <f>C11*C18</f>
        <v>16</v>
      </c>
      <c r="D47" s="80">
        <f>D11*D18</f>
        <v>16</v>
      </c>
      <c r="E47" s="80">
        <f>E11*E18</f>
        <v>0</v>
      </c>
      <c r="F47" s="81"/>
    </row>
    <row r="48" spans="2:6" s="47" customFormat="1" ht="15" customHeight="1">
      <c r="B48" s="72" t="s">
        <v>50</v>
      </c>
      <c r="C48" s="80">
        <f>((C19%*C5)*C11)/12</f>
        <v>0</v>
      </c>
      <c r="D48" s="80">
        <f>((C19%*C5)*C11)/12</f>
        <v>0</v>
      </c>
      <c r="E48" s="80">
        <f>((C19%*C5)*C11)/12</f>
        <v>0</v>
      </c>
      <c r="F48" s="81"/>
    </row>
    <row r="49" spans="2:6" s="47" customFormat="1" ht="15" customHeight="1">
      <c r="B49" s="74" t="s">
        <v>51</v>
      </c>
      <c r="C49" s="80">
        <f>C11*C20</f>
        <v>0</v>
      </c>
      <c r="D49" s="80">
        <f>D11*D20</f>
        <v>0</v>
      </c>
      <c r="E49" s="80">
        <f>E11*E20</f>
        <v>0</v>
      </c>
      <c r="F49" s="81"/>
    </row>
    <row r="50" spans="2:6" s="47" customFormat="1" ht="19.5" customHeight="1">
      <c r="B50" s="76" t="s">
        <v>52</v>
      </c>
      <c r="C50" s="77">
        <f>SUM(C43:C49)</f>
        <v>405.0428</v>
      </c>
      <c r="D50" s="77">
        <f>SUM(D43:D49)</f>
        <v>405.0428</v>
      </c>
      <c r="E50" s="77">
        <f>SUM(E43:E49)</f>
        <v>0</v>
      </c>
      <c r="F50" s="81"/>
    </row>
    <row r="51" spans="2:6" s="47" customFormat="1" ht="19.5" customHeight="1">
      <c r="B51" s="78" t="s">
        <v>53</v>
      </c>
      <c r="C51" s="79"/>
      <c r="D51" s="79"/>
      <c r="E51" s="79"/>
      <c r="F51" s="81"/>
    </row>
    <row r="52" spans="2:6" s="47" customFormat="1" ht="19.5" customHeight="1">
      <c r="B52" s="82" t="s">
        <v>54</v>
      </c>
      <c r="C52" s="79">
        <f>C11*C22</f>
        <v>130</v>
      </c>
      <c r="D52" s="79">
        <f>D11*D22</f>
        <v>130</v>
      </c>
      <c r="E52" s="79">
        <f>E11*E22</f>
        <v>0</v>
      </c>
      <c r="F52" s="81"/>
    </row>
    <row r="53" spans="2:6" s="47" customFormat="1" ht="19.5" customHeight="1">
      <c r="B53" s="76" t="s">
        <v>55</v>
      </c>
      <c r="C53" s="83">
        <f>+C52</f>
        <v>130</v>
      </c>
      <c r="D53" s="83">
        <f>+D52</f>
        <v>130</v>
      </c>
      <c r="E53" s="83">
        <f>+E52</f>
        <v>0</v>
      </c>
      <c r="F53" s="81"/>
    </row>
    <row r="54" spans="2:6" s="47" customFormat="1" ht="19.5" customHeight="1">
      <c r="B54" s="78" t="s">
        <v>56</v>
      </c>
      <c r="C54" s="55"/>
      <c r="D54" s="55"/>
      <c r="E54" s="55"/>
      <c r="F54" s="81"/>
    </row>
    <row r="55" spans="2:13" s="67" customFormat="1" ht="36.75">
      <c r="B55" s="60" t="s">
        <v>57</v>
      </c>
      <c r="C55" s="71">
        <f>SUM(C41+C50+C53)*0.0612</f>
        <v>257.00541962432726</v>
      </c>
      <c r="D55" s="71">
        <f>SUM(D41+D50+D53)*0.0612</f>
        <v>236.7735221523273</v>
      </c>
      <c r="E55" s="71">
        <f>SUM(E41+E50+E53)*0.0612</f>
        <v>0</v>
      </c>
      <c r="F55" s="84"/>
      <c r="G55" s="47"/>
      <c r="H55" s="47"/>
      <c r="I55" s="47"/>
      <c r="J55" s="47"/>
      <c r="K55" s="47"/>
      <c r="L55" s="47"/>
      <c r="M55" s="47"/>
    </row>
    <row r="56" spans="1:13" s="67" customFormat="1" ht="36.75">
      <c r="A56" s="47"/>
      <c r="B56" s="74" t="s">
        <v>58</v>
      </c>
      <c r="C56" s="85">
        <f>SUM(C41+C50+C53+C55)*0.072</f>
        <v>320.8637074180425</v>
      </c>
      <c r="D56" s="85">
        <f>SUM(D41+D50+D53+D55)*0.072</f>
        <v>295.6047784800585</v>
      </c>
      <c r="E56" s="85">
        <f>SUM(E41+E50+E53+E55)*0.072</f>
        <v>0</v>
      </c>
      <c r="F56" s="84"/>
      <c r="G56" s="47"/>
      <c r="H56" s="47"/>
      <c r="I56" s="47"/>
      <c r="J56" s="47"/>
      <c r="K56" s="47"/>
      <c r="L56" s="47"/>
      <c r="M56" s="47"/>
    </row>
    <row r="57" spans="2:13" s="67" customFormat="1" ht="19.5" customHeight="1">
      <c r="B57" s="76" t="s">
        <v>59</v>
      </c>
      <c r="C57" s="86">
        <f>SUM(C55+C56)</f>
        <v>577.8691270423698</v>
      </c>
      <c r="D57" s="86">
        <f>SUM(D55+D56)</f>
        <v>532.3783006323858</v>
      </c>
      <c r="E57" s="86">
        <f>SUM(E55+E56)</f>
        <v>0</v>
      </c>
      <c r="F57" s="81"/>
      <c r="G57" s="47"/>
      <c r="H57" s="47"/>
      <c r="I57" s="47"/>
      <c r="J57" s="47"/>
      <c r="K57" s="47"/>
      <c r="L57" s="47"/>
      <c r="M57" s="47"/>
    </row>
    <row r="58" spans="2:6" s="47" customFormat="1" ht="15" customHeight="1">
      <c r="B58" s="78" t="s">
        <v>60</v>
      </c>
      <c r="C58" s="87"/>
      <c r="D58" s="87"/>
      <c r="E58" s="88"/>
      <c r="F58" s="49"/>
    </row>
    <row r="59" spans="2:6" s="47" customFormat="1" ht="15" customHeight="1">
      <c r="B59" s="60" t="s">
        <v>61</v>
      </c>
      <c r="C59" s="79">
        <f>C65*0.0065</f>
        <v>33.99285886530621</v>
      </c>
      <c r="D59" s="79">
        <f>D65*0.0065</f>
        <v>31.316884030424003</v>
      </c>
      <c r="E59" s="79">
        <f>E65*0.0065</f>
        <v>0</v>
      </c>
      <c r="F59" s="49"/>
    </row>
    <row r="60" spans="2:6" s="47" customFormat="1" ht="15" customHeight="1">
      <c r="B60" s="72" t="s">
        <v>62</v>
      </c>
      <c r="C60" s="80">
        <f>C65*0.03</f>
        <v>156.8901178398748</v>
      </c>
      <c r="D60" s="80">
        <f>D65*0.03</f>
        <v>144.53946475580307</v>
      </c>
      <c r="E60" s="80">
        <f>E65*0.03</f>
        <v>0</v>
      </c>
      <c r="F60" s="89" t="s">
        <v>63</v>
      </c>
    </row>
    <row r="61" spans="2:6" s="47" customFormat="1" ht="15" customHeight="1">
      <c r="B61" s="90" t="str">
        <f>(F60&amp;C24&amp;F61)</f>
        <v>ISSQN - 5% </v>
      </c>
      <c r="C61" s="80">
        <f>C24%*C65</f>
        <v>261.48352973312467</v>
      </c>
      <c r="D61" s="80">
        <f>D24%*D65</f>
        <v>240.89910792633847</v>
      </c>
      <c r="E61" s="80">
        <f>E24%*E65</f>
        <v>0</v>
      </c>
      <c r="F61" s="89" t="s">
        <v>64</v>
      </c>
    </row>
    <row r="62" spans="2:6" s="47" customFormat="1" ht="18" customHeight="1">
      <c r="B62" s="76" t="s">
        <v>65</v>
      </c>
      <c r="C62" s="77">
        <f>SUM(C59:C61)</f>
        <v>452.3665064383057</v>
      </c>
      <c r="D62" s="77">
        <f>SUM(D59:D61)</f>
        <v>416.7554567125655</v>
      </c>
      <c r="E62" s="77">
        <f>SUM(E59:E61)</f>
        <v>0</v>
      </c>
      <c r="F62" s="49"/>
    </row>
    <row r="63" spans="2:6" s="47" customFormat="1" ht="16.5" customHeight="1">
      <c r="B63" s="91" t="s">
        <v>66</v>
      </c>
      <c r="C63" s="92">
        <f>SUM(C50,C53,C57,C62)</f>
        <v>1565.2784334806756</v>
      </c>
      <c r="D63" s="92">
        <f>SUM(D50,D53,D57,D62)</f>
        <v>1484.1765573449513</v>
      </c>
      <c r="E63" s="92">
        <f>SUM(E50,E53,E57,E62)</f>
        <v>0</v>
      </c>
      <c r="F63" s="49"/>
    </row>
    <row r="64" spans="2:6" s="47" customFormat="1" ht="12.75" customHeight="1" hidden="1">
      <c r="B64" s="93"/>
      <c r="C64" s="94"/>
      <c r="D64" s="94"/>
      <c r="E64" s="95"/>
      <c r="F64" s="49"/>
    </row>
    <row r="65" spans="2:8" s="47" customFormat="1" ht="24.75">
      <c r="B65" s="96" t="s">
        <v>67</v>
      </c>
      <c r="C65" s="97">
        <f>SUM(C41,C50,C53,C57)/((100-(3.65+$C$24))/100)</f>
        <v>5229.670594662493</v>
      </c>
      <c r="D65" s="97">
        <f>SUM(D41,D50,D53,D57)/((100-(3.65+$C$24))/100)</f>
        <v>4817.982158526769</v>
      </c>
      <c r="E65" s="97">
        <f>SUM(E41,E50,E53,E57)/((100-(3.65+$C$24))/100)</f>
        <v>0</v>
      </c>
      <c r="F65" s="98"/>
      <c r="G65" s="98"/>
      <c r="H65" s="98"/>
    </row>
    <row r="66" spans="2:6" s="47" customFormat="1" ht="19.5" customHeight="1">
      <c r="B66" s="91" t="s">
        <v>68</v>
      </c>
      <c r="C66" s="92">
        <f>C40*C65</f>
        <v>10459.341189324987</v>
      </c>
      <c r="D66" s="92">
        <f>D40*D65</f>
        <v>14453.946475580307</v>
      </c>
      <c r="E66" s="92">
        <f>E40*E65</f>
        <v>0</v>
      </c>
      <c r="F66" s="49"/>
    </row>
    <row r="67" spans="2:6" s="47" customFormat="1" ht="19.5" customHeight="1">
      <c r="B67" s="99" t="s">
        <v>69</v>
      </c>
      <c r="C67" s="100">
        <f>C65/(SUM(C32:C36,C37)*C39)</f>
        <v>2.4883945952751665</v>
      </c>
      <c r="D67" s="100">
        <f>D65/(SUM(D32:D36,D37)*D39)</f>
        <v>2.519833096635656</v>
      </c>
      <c r="E67" s="100" t="e">
        <f>E65/(SUM(E32:E36,E37)*E39)</f>
        <v>#DIV/0!</v>
      </c>
      <c r="F67" s="101"/>
    </row>
    <row r="68" spans="2:6" s="47" customFormat="1" ht="10.5" customHeight="1">
      <c r="B68" s="102"/>
      <c r="C68" s="102"/>
      <c r="D68" s="102"/>
      <c r="E68" s="102"/>
      <c r="F68" s="103"/>
    </row>
    <row r="69" spans="2:6" s="47" customFormat="1" ht="30.75" customHeight="1">
      <c r="B69" s="104" t="s">
        <v>70</v>
      </c>
      <c r="C69" s="104"/>
      <c r="D69" s="104"/>
      <c r="E69" s="104"/>
      <c r="F69" s="105"/>
    </row>
    <row r="70" spans="2:6" s="106" customFormat="1" ht="19.5" customHeight="1">
      <c r="B70" s="107" t="s">
        <v>71</v>
      </c>
      <c r="C70" s="107"/>
      <c r="D70" s="107"/>
      <c r="E70" s="107"/>
      <c r="F70" s="105"/>
    </row>
    <row r="71" spans="2:6" s="106" customFormat="1" ht="19.5" customHeight="1">
      <c r="B71" s="107" t="s">
        <v>72</v>
      </c>
      <c r="C71" s="107"/>
      <c r="D71" s="107"/>
      <c r="E71" s="107"/>
      <c r="F71" s="105"/>
    </row>
    <row r="72" spans="2:6" s="106" customFormat="1" ht="12" customHeight="1">
      <c r="B72" s="108" t="s">
        <v>73</v>
      </c>
      <c r="C72" s="108"/>
      <c r="D72" s="108"/>
      <c r="E72" s="108"/>
      <c r="F72" s="105"/>
    </row>
    <row r="73" spans="2:6" s="106" customFormat="1" ht="12" customHeight="1">
      <c r="B73" s="108" t="s">
        <v>74</v>
      </c>
      <c r="C73" s="108"/>
      <c r="D73" s="108"/>
      <c r="E73" s="108"/>
      <c r="F73" s="105"/>
    </row>
    <row r="74" spans="2:6" s="106" customFormat="1" ht="12" customHeight="1">
      <c r="B74" s="108" t="s">
        <v>75</v>
      </c>
      <c r="C74" s="108"/>
      <c r="D74" s="108"/>
      <c r="E74" s="108"/>
      <c r="F74" s="105"/>
    </row>
    <row r="75" spans="2:6" s="106" customFormat="1" ht="24.75" customHeight="1">
      <c r="B75" s="109" t="s">
        <v>76</v>
      </c>
      <c r="C75" s="109"/>
      <c r="D75" s="109"/>
      <c r="E75" s="109"/>
      <c r="F75" s="105"/>
    </row>
    <row r="76" spans="2:6" s="106" customFormat="1" ht="15.75" customHeight="1">
      <c r="B76" s="110" t="s">
        <v>77</v>
      </c>
      <c r="C76" s="110"/>
      <c r="D76" s="110"/>
      <c r="E76" s="110"/>
      <c r="F76" s="105"/>
    </row>
    <row r="77" spans="2:6" s="106" customFormat="1" ht="24.75" customHeight="1">
      <c r="B77" s="110" t="s">
        <v>78</v>
      </c>
      <c r="C77" s="110"/>
      <c r="D77" s="110"/>
      <c r="E77" s="110"/>
      <c r="F77" s="105"/>
    </row>
    <row r="78" spans="1:5" s="106" customFormat="1" ht="24.75" customHeight="1">
      <c r="A78" s="111"/>
      <c r="B78" s="112" t="s">
        <v>79</v>
      </c>
      <c r="C78" s="112"/>
      <c r="D78" s="112"/>
      <c r="E78" s="112"/>
    </row>
    <row r="79" spans="2:5" s="106" customFormat="1" ht="14.25" customHeight="1">
      <c r="B79" s="113" t="s">
        <v>80</v>
      </c>
      <c r="C79" s="113"/>
      <c r="D79" s="113"/>
      <c r="E79" s="113"/>
    </row>
    <row r="80" spans="2:5" s="106" customFormat="1" ht="24.75" customHeight="1">
      <c r="B80" s="110" t="s">
        <v>81</v>
      </c>
      <c r="C80" s="110"/>
      <c r="D80" s="110"/>
      <c r="E80" s="110"/>
    </row>
    <row r="81" spans="2:5" s="106" customFormat="1" ht="18.75" customHeight="1">
      <c r="B81" s="107" t="s">
        <v>82</v>
      </c>
      <c r="C81" s="107"/>
      <c r="D81" s="107"/>
      <c r="E81" s="107"/>
    </row>
    <row r="82" spans="2:6" s="106" customFormat="1" ht="24.75" customHeight="1">
      <c r="B82" s="107" t="s">
        <v>83</v>
      </c>
      <c r="C82" s="107"/>
      <c r="D82" s="107"/>
      <c r="E82" s="107"/>
      <c r="F82" s="105"/>
    </row>
    <row r="83" spans="2:6" s="106" customFormat="1" ht="19.5" customHeight="1">
      <c r="B83" s="107" t="s">
        <v>84</v>
      </c>
      <c r="C83" s="107"/>
      <c r="D83" s="107"/>
      <c r="E83" s="107"/>
      <c r="F83" s="105"/>
    </row>
    <row r="84" spans="2:6" s="106" customFormat="1" ht="19.5" customHeight="1">
      <c r="B84" s="107" t="s">
        <v>85</v>
      </c>
      <c r="C84" s="107"/>
      <c r="D84" s="107"/>
      <c r="E84" s="107"/>
      <c r="F84" s="105"/>
    </row>
    <row r="85" spans="2:6" s="106" customFormat="1" ht="19.5" customHeight="1">
      <c r="B85" s="114" t="s">
        <v>86</v>
      </c>
      <c r="C85" s="114"/>
      <c r="D85" s="114"/>
      <c r="E85" s="114"/>
      <c r="F85" s="105"/>
    </row>
    <row r="86" spans="2:6" s="106" customFormat="1" ht="24.75" customHeight="1">
      <c r="B86" s="107" t="s">
        <v>87</v>
      </c>
      <c r="C86" s="107"/>
      <c r="D86" s="107"/>
      <c r="E86" s="107"/>
      <c r="F86" s="105"/>
    </row>
    <row r="87" spans="2:6" s="106" customFormat="1" ht="24.75" customHeight="1">
      <c r="B87" s="107" t="s">
        <v>88</v>
      </c>
      <c r="C87" s="107"/>
      <c r="D87" s="107"/>
      <c r="E87" s="107"/>
      <c r="F87" s="105"/>
    </row>
    <row r="88" spans="2:6" s="106" customFormat="1" ht="24.75" customHeight="1">
      <c r="B88" s="107" t="s">
        <v>89</v>
      </c>
      <c r="C88" s="107"/>
      <c r="D88" s="107"/>
      <c r="E88" s="107"/>
      <c r="F88" s="105"/>
    </row>
    <row r="89" spans="2:6" s="106" customFormat="1" ht="12.75" customHeight="1">
      <c r="B89" s="107" t="s">
        <v>90</v>
      </c>
      <c r="C89" s="107"/>
      <c r="D89" s="107"/>
      <c r="E89" s="107"/>
      <c r="F89" s="105"/>
    </row>
    <row r="90" spans="1:6" s="106" customFormat="1" ht="24.75" customHeight="1">
      <c r="A90" s="115"/>
      <c r="B90" s="107" t="s">
        <v>91</v>
      </c>
      <c r="C90" s="107"/>
      <c r="D90" s="107"/>
      <c r="E90" s="107"/>
      <c r="F90" s="105"/>
    </row>
    <row r="91" spans="2:6" s="115" customFormat="1" ht="24.75" customHeight="1">
      <c r="B91" s="107" t="s">
        <v>92</v>
      </c>
      <c r="C91" s="107"/>
      <c r="D91" s="107"/>
      <c r="E91" s="107"/>
      <c r="F91" s="116"/>
    </row>
    <row r="92" spans="1:6" s="115" customFormat="1" ht="15" customHeight="1">
      <c r="A92" s="115" t="s">
        <v>29</v>
      </c>
      <c r="B92" s="108" t="s">
        <v>93</v>
      </c>
      <c r="C92" s="108"/>
      <c r="D92" s="108"/>
      <c r="E92" s="108"/>
      <c r="F92" s="116"/>
    </row>
    <row r="93" spans="2:6" s="117" customFormat="1" ht="15" customHeight="1">
      <c r="B93" s="118" t="s">
        <v>94</v>
      </c>
      <c r="C93" s="118"/>
      <c r="D93" s="118"/>
      <c r="E93" s="118"/>
      <c r="F93" s="119"/>
    </row>
    <row r="94" spans="2:6" s="117" customFormat="1" ht="15" customHeight="1">
      <c r="B94" s="120"/>
      <c r="C94" s="120"/>
      <c r="D94" s="120"/>
      <c r="E94" s="120"/>
      <c r="F94" s="119"/>
    </row>
    <row r="95" s="117" customFormat="1" ht="15" customHeight="1">
      <c r="F95" s="119"/>
    </row>
    <row r="96" s="117" customFormat="1" ht="15" customHeight="1">
      <c r="F96" s="119"/>
    </row>
    <row r="97" s="117" customFormat="1" ht="15" customHeight="1">
      <c r="F97" s="119"/>
    </row>
    <row r="98" s="117" customFormat="1" ht="15" customHeight="1">
      <c r="F98" s="119"/>
    </row>
    <row r="99" s="117" customFormat="1" ht="15" customHeight="1">
      <c r="F99" s="119"/>
    </row>
    <row r="100" s="117" customFormat="1" ht="15" customHeight="1">
      <c r="F100" s="119"/>
    </row>
    <row r="101" s="117" customFormat="1" ht="15" customHeight="1">
      <c r="F101" s="119"/>
    </row>
    <row r="102" s="117" customFormat="1" ht="15" customHeight="1">
      <c r="F102" s="119"/>
    </row>
    <row r="103" s="117" customFormat="1" ht="15" customHeight="1">
      <c r="F103" s="119"/>
    </row>
    <row r="104" s="117" customFormat="1" ht="15" customHeight="1">
      <c r="F104" s="119"/>
    </row>
    <row r="105" s="117" customFormat="1" ht="15" customHeight="1">
      <c r="F105" s="119"/>
    </row>
    <row r="106" s="117" customFormat="1" ht="15" customHeight="1">
      <c r="F106" s="119"/>
    </row>
    <row r="107" s="117" customFormat="1" ht="15" customHeight="1">
      <c r="F107" s="119"/>
    </row>
    <row r="108" s="117" customFormat="1" ht="15" customHeight="1">
      <c r="F108" s="119"/>
    </row>
    <row r="109" s="117" customFormat="1" ht="15" customHeight="1">
      <c r="F109" s="119"/>
    </row>
    <row r="110" spans="2:6" s="117" customFormat="1" ht="15" customHeight="1">
      <c r="B110" s="1"/>
      <c r="F110" s="119"/>
    </row>
  </sheetData>
  <mergeCells count="29">
    <mergeCell ref="B29:B30"/>
    <mergeCell ref="C29:C30"/>
    <mergeCell ref="D29:D30"/>
    <mergeCell ref="E29:E3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</mergeCells>
  <printOptions/>
  <pageMargins left="0.22083333333333333" right="0.08819444444444445" top="0.5805555555555555" bottom="1.0527777777777778" header="0.31527777777777777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67" max="255" man="1"/>
  </rowBreaks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87.140625" style="1" customWidth="1"/>
    <col min="3" max="3" width="22.140625" style="1" customWidth="1"/>
    <col min="4" max="4" width="5.00390625" style="1" customWidth="1"/>
    <col min="5" max="5" width="30.57421875" style="1" customWidth="1"/>
    <col min="6" max="6" width="20.57421875" style="1" customWidth="1"/>
    <col min="7" max="7" width="26.140625" style="1" customWidth="1"/>
    <col min="8" max="8" width="19.7109375" style="1" customWidth="1"/>
    <col min="9" max="10" width="17.57421875" style="1" customWidth="1"/>
    <col min="11" max="11" width="0" style="1" hidden="1" customWidth="1"/>
    <col min="12" max="16384" width="11.421875" style="1" customWidth="1"/>
  </cols>
  <sheetData>
    <row r="1" ht="14.25" customHeight="1">
      <c r="K1" s="1" t="s">
        <v>95</v>
      </c>
    </row>
    <row r="2" spans="2:11" ht="15.75" customHeight="1">
      <c r="B2" s="3" t="s">
        <v>0</v>
      </c>
      <c r="C2" s="3"/>
      <c r="E2" s="3" t="s">
        <v>0</v>
      </c>
      <c r="F2" s="3"/>
      <c r="G2" s="3"/>
      <c r="H2" s="3"/>
      <c r="I2" s="3"/>
      <c r="K2" s="1" t="s">
        <v>63</v>
      </c>
    </row>
    <row r="3" spans="2:9" ht="15.75" customHeight="1">
      <c r="B3" s="5" t="s">
        <v>4</v>
      </c>
      <c r="C3" s="5"/>
      <c r="E3" s="121" t="s">
        <v>96</v>
      </c>
      <c r="F3" s="122"/>
      <c r="G3" s="123"/>
      <c r="H3" s="123"/>
      <c r="I3" s="124"/>
    </row>
    <row r="4" spans="2:9" ht="15.75" customHeight="1">
      <c r="B4" s="5" t="s">
        <v>97</v>
      </c>
      <c r="C4" s="5"/>
      <c r="E4" s="125" t="s">
        <v>98</v>
      </c>
      <c r="F4" s="125" t="s">
        <v>99</v>
      </c>
      <c r="G4" s="125" t="s">
        <v>100</v>
      </c>
      <c r="H4" s="125" t="s">
        <v>101</v>
      </c>
      <c r="I4" s="125" t="s">
        <v>102</v>
      </c>
    </row>
    <row r="5" spans="2:9" ht="15.75" customHeight="1">
      <c r="B5" s="7" t="s">
        <v>103</v>
      </c>
      <c r="C5" s="126">
        <v>502</v>
      </c>
      <c r="E5" s="127" t="s">
        <v>104</v>
      </c>
      <c r="F5" s="128"/>
      <c r="G5" s="128">
        <v>0</v>
      </c>
      <c r="H5" s="128">
        <v>0</v>
      </c>
      <c r="I5" s="129">
        <f>SUM(F5:H5)</f>
        <v>0</v>
      </c>
    </row>
    <row r="6" spans="2:9" ht="15.75" customHeight="1">
      <c r="B6" s="7" t="s">
        <v>105</v>
      </c>
      <c r="C6" s="130">
        <v>0</v>
      </c>
      <c r="E6" s="131" t="s">
        <v>106</v>
      </c>
      <c r="F6" s="132">
        <v>0</v>
      </c>
      <c r="G6" s="132">
        <v>0</v>
      </c>
      <c r="H6" s="132">
        <v>0</v>
      </c>
      <c r="I6" s="133">
        <f>SUM(F6:H6)</f>
        <v>0</v>
      </c>
    </row>
    <row r="7" spans="2:9" ht="15.75" customHeight="1">
      <c r="B7" s="7" t="s">
        <v>107</v>
      </c>
      <c r="C7" s="130">
        <v>0</v>
      </c>
      <c r="E7" s="131" t="s">
        <v>108</v>
      </c>
      <c r="F7" s="132">
        <v>0</v>
      </c>
      <c r="G7" s="132">
        <v>0</v>
      </c>
      <c r="H7" s="132">
        <v>0</v>
      </c>
      <c r="I7" s="133">
        <f>SUM(F7:H7)</f>
        <v>0</v>
      </c>
    </row>
    <row r="8" spans="2:9" ht="15.75" customHeight="1">
      <c r="B8" s="134"/>
      <c r="C8" s="134"/>
      <c r="E8" s="131" t="s">
        <v>109</v>
      </c>
      <c r="F8" s="132">
        <v>0</v>
      </c>
      <c r="G8" s="132">
        <v>0</v>
      </c>
      <c r="H8" s="132">
        <v>0</v>
      </c>
      <c r="I8" s="133">
        <f>SUM(F8:H8)</f>
        <v>0</v>
      </c>
    </row>
    <row r="9" spans="2:9" ht="15.75" customHeight="1">
      <c r="B9" s="135" t="s">
        <v>14</v>
      </c>
      <c r="C9" s="135"/>
      <c r="E9" s="136" t="s">
        <v>110</v>
      </c>
      <c r="F9" s="137">
        <v>0</v>
      </c>
      <c r="G9" s="137">
        <v>0</v>
      </c>
      <c r="H9" s="137">
        <v>0</v>
      </c>
      <c r="I9" s="138">
        <f>SUM(F9:H9)</f>
        <v>0</v>
      </c>
    </row>
    <row r="10" spans="2:11" ht="15.75" customHeight="1">
      <c r="B10" s="139" t="s">
        <v>111</v>
      </c>
      <c r="C10" s="140">
        <v>20</v>
      </c>
      <c r="F10" s="117"/>
      <c r="G10"/>
      <c r="H10" s="117"/>
      <c r="I10" s="117"/>
      <c r="J10" s="117"/>
      <c r="K10" s="117"/>
    </row>
    <row r="11" spans="2:11" ht="15.75" customHeight="1">
      <c r="B11" s="141" t="s">
        <v>112</v>
      </c>
      <c r="C11" s="142">
        <v>6.5</v>
      </c>
      <c r="E11" s="143" t="s">
        <v>113</v>
      </c>
      <c r="F11" s="144"/>
      <c r="G11" s="145"/>
      <c r="H11" s="145"/>
      <c r="I11" s="146"/>
      <c r="J11" s="147"/>
      <c r="K11" s="148"/>
    </row>
    <row r="12" spans="2:11" ht="15.75" customHeight="1">
      <c r="B12" s="7" t="s">
        <v>114</v>
      </c>
      <c r="C12" s="31">
        <v>5.3</v>
      </c>
      <c r="E12" s="149" t="s">
        <v>115</v>
      </c>
      <c r="F12" s="123"/>
      <c r="G12" s="148"/>
      <c r="H12" s="148"/>
      <c r="I12" s="150"/>
      <c r="J12" s="151"/>
      <c r="K12" s="148"/>
    </row>
    <row r="13" spans="2:11" ht="15.75" customHeight="1">
      <c r="B13" s="7" t="s">
        <v>116</v>
      </c>
      <c r="C13" s="31">
        <v>0</v>
      </c>
      <c r="E13" s="152" t="s">
        <v>117</v>
      </c>
      <c r="F13" s="153"/>
      <c r="G13" s="153"/>
      <c r="H13" s="153"/>
      <c r="I13" s="154"/>
      <c r="J13" s="147"/>
      <c r="K13" s="148"/>
    </row>
    <row r="14" spans="2:11" ht="15.75" customHeight="1">
      <c r="B14" s="22" t="s">
        <v>118</v>
      </c>
      <c r="C14" s="36">
        <v>0</v>
      </c>
      <c r="E14" s="155" t="s">
        <v>119</v>
      </c>
      <c r="G14" s="117"/>
      <c r="H14" s="117"/>
      <c r="I14" s="117"/>
      <c r="J14" s="117"/>
      <c r="K14" s="117"/>
    </row>
    <row r="15" spans="2:11" ht="15.75" customHeight="1">
      <c r="B15" s="5" t="s">
        <v>120</v>
      </c>
      <c r="C15" s="5"/>
      <c r="E15" s="156" t="s">
        <v>121</v>
      </c>
      <c r="F15" s="132">
        <f>+C53</f>
        <v>1493.4562705364424</v>
      </c>
      <c r="G15" s="117"/>
      <c r="H15"/>
      <c r="I15" s="117"/>
      <c r="J15" s="117"/>
      <c r="K15"/>
    </row>
    <row r="16" spans="2:11" ht="15.75" customHeight="1">
      <c r="B16" s="139" t="s">
        <v>122</v>
      </c>
      <c r="C16" s="140">
        <v>95</v>
      </c>
      <c r="E16" s="156" t="s">
        <v>123</v>
      </c>
      <c r="F16" s="132">
        <f>C121</f>
        <v>2406.5706311440395</v>
      </c>
      <c r="G16"/>
      <c r="H16" s="117"/>
      <c r="I16" s="117"/>
      <c r="J16" s="117"/>
      <c r="K16" s="117"/>
    </row>
    <row r="17" spans="2:3" ht="15.75" customHeight="1">
      <c r="B17" s="41" t="s">
        <v>24</v>
      </c>
      <c r="C17" s="41"/>
    </row>
    <row r="18" spans="2:11" ht="15.75" customHeight="1">
      <c r="B18" s="42" t="s">
        <v>124</v>
      </c>
      <c r="C18" s="157">
        <v>5</v>
      </c>
      <c r="E18" s="155" t="s">
        <v>125</v>
      </c>
      <c r="G18" s="117"/>
      <c r="H18" s="117"/>
      <c r="I18" s="117"/>
      <c r="J18" s="117"/>
      <c r="K18"/>
    </row>
    <row r="19" spans="2:11" ht="15.75" customHeight="1">
      <c r="B19" s="158"/>
      <c r="C19" s="159"/>
      <c r="E19" s="1" t="s">
        <v>126</v>
      </c>
      <c r="F19" s="117"/>
      <c r="G19"/>
      <c r="H19" s="117"/>
      <c r="I19" s="117"/>
      <c r="J19" s="117"/>
      <c r="K19" s="117"/>
    </row>
    <row r="20" spans="3:11" ht="28.5" customHeight="1">
      <c r="C20" s="47"/>
      <c r="E20" s="160" t="s">
        <v>127</v>
      </c>
      <c r="F20" s="161" t="s">
        <v>128</v>
      </c>
      <c r="G20" s="161" t="s">
        <v>129</v>
      </c>
      <c r="H20" s="161" t="s">
        <v>130</v>
      </c>
      <c r="I20" s="117"/>
      <c r="J20" s="117"/>
      <c r="K20" s="117"/>
    </row>
    <row r="21" spans="2:11" s="47" customFormat="1" ht="15.75" customHeight="1">
      <c r="B21" s="48" t="s">
        <v>131</v>
      </c>
      <c r="E21" s="162" t="s">
        <v>132</v>
      </c>
      <c r="F21" s="163"/>
      <c r="G21" s="163"/>
      <c r="H21" s="164"/>
      <c r="I21" s="117"/>
      <c r="J21" s="117"/>
      <c r="K21" s="117"/>
    </row>
    <row r="22" spans="2:11" s="47" customFormat="1" ht="15.75" customHeight="1">
      <c r="B22" s="48" t="s">
        <v>133</v>
      </c>
      <c r="C22" s="50"/>
      <c r="E22" s="165" t="s">
        <v>134</v>
      </c>
      <c r="F22" s="166">
        <f>1/600</f>
        <v>0.0016666666666666668</v>
      </c>
      <c r="G22" s="167">
        <f>F15</f>
        <v>1493.4562705364424</v>
      </c>
      <c r="H22" s="168">
        <f>+G22*F22</f>
        <v>2.4890937842274043</v>
      </c>
      <c r="I22" s="117"/>
      <c r="J22" s="117"/>
      <c r="K22" s="117"/>
    </row>
    <row r="23" spans="2:11" s="47" customFormat="1" ht="16.5" customHeight="1">
      <c r="B23" s="169"/>
      <c r="C23" s="50" t="s">
        <v>28</v>
      </c>
      <c r="E23" s="165" t="s">
        <v>123</v>
      </c>
      <c r="F23" s="170">
        <f>1/(600*30)</f>
        <v>5.555555555555556E-05</v>
      </c>
      <c r="G23" s="167">
        <f>F16</f>
        <v>2406.5706311440395</v>
      </c>
      <c r="H23" s="168">
        <f>+G23*F23</f>
        <v>0.1336983683968911</v>
      </c>
      <c r="I23" s="117"/>
      <c r="J23" s="117"/>
      <c r="K23" s="117"/>
    </row>
    <row r="24" spans="2:11" s="47" customFormat="1" ht="15.75" customHeight="1">
      <c r="B24" s="53" t="s">
        <v>30</v>
      </c>
      <c r="C24" s="53" t="s">
        <v>135</v>
      </c>
      <c r="E24" s="171"/>
      <c r="F24" s="172" t="s">
        <v>136</v>
      </c>
      <c r="G24" s="172"/>
      <c r="H24" s="173">
        <f>H23+H22</f>
        <v>2.6227921526242954</v>
      </c>
      <c r="I24" s="117"/>
      <c r="J24" s="117"/>
      <c r="K24" s="117"/>
    </row>
    <row r="25" spans="2:11" s="47" customFormat="1" ht="15.75" customHeight="1">
      <c r="B25" s="53"/>
      <c r="C25" s="53"/>
      <c r="E25" s="162" t="s">
        <v>137</v>
      </c>
      <c r="F25" s="163"/>
      <c r="G25" s="163"/>
      <c r="H25" s="164"/>
      <c r="I25" s="117"/>
      <c r="J25" s="117"/>
      <c r="K25" s="117"/>
    </row>
    <row r="26" spans="2:11" s="47" customFormat="1" ht="15.75" customHeight="1">
      <c r="B26" s="78" t="s">
        <v>138</v>
      </c>
      <c r="C26" s="87"/>
      <c r="E26" s="165" t="s">
        <v>134</v>
      </c>
      <c r="F26" s="174">
        <f>1/1200</f>
        <v>0.0008333333333333334</v>
      </c>
      <c r="G26" s="175">
        <f>G22</f>
        <v>1493.4562705364424</v>
      </c>
      <c r="H26" s="176">
        <f>+G26*F26</f>
        <v>1.2445468921137022</v>
      </c>
      <c r="I26" s="117"/>
      <c r="J26" s="117"/>
      <c r="K26" s="117"/>
    </row>
    <row r="27" spans="2:11" s="57" customFormat="1" ht="15.75" customHeight="1">
      <c r="B27" s="177" t="s">
        <v>139</v>
      </c>
      <c r="C27" s="79">
        <f>C5</f>
        <v>502</v>
      </c>
      <c r="E27" s="165" t="s">
        <v>123</v>
      </c>
      <c r="F27" s="174">
        <f>1/(1200*30)</f>
        <v>2.777777777777778E-05</v>
      </c>
      <c r="G27" s="175">
        <f>+F16</f>
        <v>2406.5706311440395</v>
      </c>
      <c r="H27" s="176">
        <f>+G27*F27</f>
        <v>0.06684918419844554</v>
      </c>
      <c r="I27" s="117"/>
      <c r="J27" s="117"/>
      <c r="K27" s="117"/>
    </row>
    <row r="28" spans="2:11" s="57" customFormat="1" ht="15.75" customHeight="1">
      <c r="B28" s="177" t="s">
        <v>140</v>
      </c>
      <c r="C28" s="79">
        <f>C5*C6%</f>
        <v>0</v>
      </c>
      <c r="E28" s="171"/>
      <c r="F28" s="172" t="s">
        <v>141</v>
      </c>
      <c r="G28" s="172"/>
      <c r="H28" s="173">
        <f>H27+H26</f>
        <v>1.3113960763121477</v>
      </c>
      <c r="I28" s="117"/>
      <c r="J28" s="117"/>
      <c r="K28" s="117"/>
    </row>
    <row r="29" spans="2:11" s="47" customFormat="1" ht="15.75" customHeight="1">
      <c r="B29" s="60" t="s">
        <v>142</v>
      </c>
      <c r="C29" s="61">
        <f>C5*C7%</f>
        <v>0</v>
      </c>
      <c r="E29" s="162" t="s">
        <v>143</v>
      </c>
      <c r="F29" s="163"/>
      <c r="G29" s="163"/>
      <c r="H29" s="164"/>
      <c r="I29" s="117"/>
      <c r="J29" s="117"/>
      <c r="K29" s="117"/>
    </row>
    <row r="30" spans="2:11" s="47" customFormat="1" ht="15.75" customHeight="1">
      <c r="B30" s="72" t="s">
        <v>144</v>
      </c>
      <c r="C30" s="80">
        <f>SUM(C27:C29)*0.7211</f>
        <v>361.9922</v>
      </c>
      <c r="E30" s="165" t="s">
        <v>134</v>
      </c>
      <c r="F30" s="174">
        <f>1/330</f>
        <v>0.0030303030303030303</v>
      </c>
      <c r="G30" s="175">
        <f>G26</f>
        <v>1493.4562705364424</v>
      </c>
      <c r="H30" s="176">
        <f>+G30*F30</f>
        <v>4.525625062231644</v>
      </c>
      <c r="I30" s="117"/>
      <c r="J30" s="117"/>
      <c r="K30" s="117"/>
    </row>
    <row r="31" spans="2:11" s="47" customFormat="1" ht="15.75" customHeight="1">
      <c r="B31" s="76" t="s">
        <v>43</v>
      </c>
      <c r="C31" s="178">
        <f>SUM(C27:C30)</f>
        <v>863.9922</v>
      </c>
      <c r="E31" s="165" t="s">
        <v>123</v>
      </c>
      <c r="F31" s="174">
        <f>1/(330*30)</f>
        <v>0.00010101010101010101</v>
      </c>
      <c r="G31" s="175">
        <f>F16</f>
        <v>2406.5706311440395</v>
      </c>
      <c r="H31" s="176">
        <f>+G31*F31</f>
        <v>0.24308794253980195</v>
      </c>
      <c r="I31" s="117"/>
      <c r="J31" s="117"/>
      <c r="K31" s="117"/>
    </row>
    <row r="32" spans="2:11" s="47" customFormat="1" ht="15.75" customHeight="1">
      <c r="B32" s="78" t="s">
        <v>44</v>
      </c>
      <c r="C32" s="179"/>
      <c r="E32" s="180" t="s">
        <v>145</v>
      </c>
      <c r="F32" s="180"/>
      <c r="G32" s="180"/>
      <c r="H32" s="173">
        <f>H31+H30</f>
        <v>4.768713004771445</v>
      </c>
      <c r="I32" s="117"/>
      <c r="J32" s="117"/>
      <c r="K32" s="117"/>
    </row>
    <row r="33" spans="2:11" s="47" customFormat="1" ht="15.75" customHeight="1">
      <c r="B33" s="60" t="s">
        <v>45</v>
      </c>
      <c r="C33" s="79">
        <f>C10</f>
        <v>20</v>
      </c>
      <c r="E33"/>
      <c r="F33" s="117"/>
      <c r="G33"/>
      <c r="H33" s="117"/>
      <c r="I33"/>
      <c r="J33" s="117"/>
      <c r="K33" s="117"/>
    </row>
    <row r="34" spans="2:11" s="47" customFormat="1" ht="18" customHeight="1">
      <c r="B34" s="72" t="s">
        <v>46</v>
      </c>
      <c r="C34" s="80">
        <f>($C$11*22)-(C27*0.06)</f>
        <v>112.88</v>
      </c>
      <c r="E34" s="181" t="s">
        <v>127</v>
      </c>
      <c r="F34" s="181" t="s">
        <v>128</v>
      </c>
      <c r="G34" s="181" t="s">
        <v>146</v>
      </c>
      <c r="H34" s="181" t="s">
        <v>147</v>
      </c>
      <c r="I34" s="181" t="s">
        <v>148</v>
      </c>
      <c r="J34" s="181" t="s">
        <v>149</v>
      </c>
      <c r="K34" s="181" t="s">
        <v>150</v>
      </c>
    </row>
    <row r="35" spans="2:11" s="47" customFormat="1" ht="15.75" customHeight="1">
      <c r="B35" s="72" t="s">
        <v>47</v>
      </c>
      <c r="C35" s="182">
        <f>$C$12*22</f>
        <v>116.6</v>
      </c>
      <c r="E35" s="181"/>
      <c r="F35" s="181"/>
      <c r="G35" s="181"/>
      <c r="H35" s="181"/>
      <c r="I35" s="181"/>
      <c r="J35" s="181"/>
      <c r="K35" s="181"/>
    </row>
    <row r="36" spans="2:11" s="47" customFormat="1" ht="15.75" customHeight="1">
      <c r="B36" s="72" t="s">
        <v>48</v>
      </c>
      <c r="C36" s="80">
        <f>+C13</f>
        <v>0</v>
      </c>
      <c r="E36" s="156" t="s">
        <v>151</v>
      </c>
      <c r="F36" s="183"/>
      <c r="G36" s="183"/>
      <c r="H36" s="183"/>
      <c r="I36" s="183"/>
      <c r="J36" s="183"/>
      <c r="K36" s="183"/>
    </row>
    <row r="37" spans="2:11" s="47" customFormat="1" ht="15.75" customHeight="1">
      <c r="B37" s="74" t="s">
        <v>152</v>
      </c>
      <c r="C37" s="80">
        <f>C14</f>
        <v>0</v>
      </c>
      <c r="D37" s="184"/>
      <c r="E37" s="185" t="s">
        <v>134</v>
      </c>
      <c r="F37" s="174">
        <f>1/220</f>
        <v>0.004545454545454545</v>
      </c>
      <c r="G37" s="186">
        <v>16</v>
      </c>
      <c r="H37" s="174">
        <f>1/191.4</f>
        <v>0.00522466039707419</v>
      </c>
      <c r="I37" s="187">
        <f>+F37*H37*G37</f>
        <v>0.0003799753016053956</v>
      </c>
      <c r="J37" s="175">
        <f>+G26</f>
        <v>1493.4562705364424</v>
      </c>
      <c r="K37" s="188">
        <f>+J37*I37</f>
        <v>0.567476496831554</v>
      </c>
    </row>
    <row r="38" spans="2:11" s="47" customFormat="1" ht="15.75" customHeight="1">
      <c r="B38" s="76" t="s">
        <v>52</v>
      </c>
      <c r="C38" s="86">
        <f>SUM(C33:C37)</f>
        <v>249.48</v>
      </c>
      <c r="D38" s="184"/>
      <c r="E38" s="185" t="s">
        <v>123</v>
      </c>
      <c r="F38" s="174">
        <f>1/(220*30)</f>
        <v>0.00015151515151515152</v>
      </c>
      <c r="G38" s="186">
        <v>16</v>
      </c>
      <c r="H38" s="174">
        <f>1/191.4</f>
        <v>0.00522466039707419</v>
      </c>
      <c r="I38" s="189">
        <f>+F38*H38*G38</f>
        <v>1.2665843386846523E-05</v>
      </c>
      <c r="J38" s="175">
        <f>F16</f>
        <v>2406.5706311440395</v>
      </c>
      <c r="K38" s="188">
        <f>+J38*I38</f>
        <v>0.030481246713454795</v>
      </c>
    </row>
    <row r="39" spans="2:11" s="47" customFormat="1" ht="15.75" customHeight="1">
      <c r="B39" s="78" t="s">
        <v>53</v>
      </c>
      <c r="C39" s="79"/>
      <c r="D39" s="184"/>
      <c r="E39" s="190"/>
      <c r="F39" s="191"/>
      <c r="G39" s="191"/>
      <c r="H39" s="191"/>
      <c r="I39" s="191"/>
      <c r="J39" s="192" t="s">
        <v>153</v>
      </c>
      <c r="K39" s="193">
        <f>K38+K37</f>
        <v>0.5979577435450087</v>
      </c>
    </row>
    <row r="40" spans="2:11" s="47" customFormat="1" ht="15.75" customHeight="1">
      <c r="B40" s="60" t="s">
        <v>154</v>
      </c>
      <c r="C40" s="79">
        <f>+C16</f>
        <v>95</v>
      </c>
      <c r="D40" s="184"/>
      <c r="E40" s="156" t="s">
        <v>155</v>
      </c>
      <c r="F40" s="183"/>
      <c r="G40" s="194"/>
      <c r="H40" s="183"/>
      <c r="I40" s="183"/>
      <c r="J40" s="183"/>
      <c r="K40" s="183"/>
    </row>
    <row r="41" spans="2:11" s="47" customFormat="1" ht="15.75" customHeight="1">
      <c r="B41" s="76" t="s">
        <v>55</v>
      </c>
      <c r="C41" s="83">
        <f>SUM(C40:C40)</f>
        <v>95</v>
      </c>
      <c r="D41" s="184"/>
      <c r="E41" s="185" t="s">
        <v>134</v>
      </c>
      <c r="F41" s="174">
        <f>1/110</f>
        <v>0.00909090909090909</v>
      </c>
      <c r="G41" s="186">
        <v>8</v>
      </c>
      <c r="H41" s="174">
        <f>1/(191.4*6)</f>
        <v>0.0008707767328456983</v>
      </c>
      <c r="I41" s="189">
        <f>+F41*H41*G41</f>
        <v>6.33292169342326E-05</v>
      </c>
      <c r="J41" s="175">
        <f>F15</f>
        <v>1493.4562705364424</v>
      </c>
      <c r="K41" s="188">
        <f>+J41*I41</f>
        <v>0.09457941613859233</v>
      </c>
    </row>
    <row r="42" spans="2:11" s="47" customFormat="1" ht="15.75" customHeight="1">
      <c r="B42" s="54" t="s">
        <v>56</v>
      </c>
      <c r="C42" s="55"/>
      <c r="E42" s="185" t="s">
        <v>123</v>
      </c>
      <c r="F42" s="174">
        <f>1/(110*4)</f>
        <v>0.0022727272727272726</v>
      </c>
      <c r="G42" s="186">
        <f>8</f>
        <v>8</v>
      </c>
      <c r="H42" s="174">
        <f>1/(6*191.4)</f>
        <v>0.0008707767328456983</v>
      </c>
      <c r="I42" s="189">
        <f>+F42*H42*G42</f>
        <v>1.583230423355815E-05</v>
      </c>
      <c r="J42" s="175">
        <f>F16</f>
        <v>2406.5706311440395</v>
      </c>
      <c r="K42" s="188">
        <f>+J42*I42</f>
        <v>0.03810155839181848</v>
      </c>
    </row>
    <row r="43" spans="1:256" s="47" customFormat="1" ht="15.75" customHeight="1">
      <c r="A43" s="67"/>
      <c r="B43" s="72" t="s">
        <v>156</v>
      </c>
      <c r="C43" s="195">
        <f>(SUM($C$31+$C$38+$C$41))*0.0531</f>
        <v>64.16987381999999</v>
      </c>
      <c r="E43" s="191"/>
      <c r="F43" s="191"/>
      <c r="G43" s="191"/>
      <c r="H43" s="191"/>
      <c r="I43" s="191"/>
      <c r="J43" s="192" t="s">
        <v>157</v>
      </c>
      <c r="K43" s="196">
        <f>K42+K41</f>
        <v>0.1326809745304108</v>
      </c>
      <c r="IO43" s="67"/>
      <c r="IP43" s="67"/>
      <c r="IQ43" s="67"/>
      <c r="IR43" s="67"/>
      <c r="IS43" s="67"/>
      <c r="IT43" s="67"/>
      <c r="IU43" s="67"/>
      <c r="IV43" s="67"/>
    </row>
    <row r="44" spans="1:256" s="47" customFormat="1" ht="15.75" customHeight="1">
      <c r="A44" s="67"/>
      <c r="B44" s="74" t="s">
        <v>158</v>
      </c>
      <c r="C44" s="195">
        <f>(SUM($C$31+$C$38+$C$41+$C$43))*0.072</f>
        <v>91.63022931504001</v>
      </c>
      <c r="E44" s="117"/>
      <c r="F44" s="117"/>
      <c r="G44" s="117"/>
      <c r="H44" s="117"/>
      <c r="I44" s="117"/>
      <c r="J44" s="117"/>
      <c r="K44" s="117"/>
      <c r="IO44" s="67"/>
      <c r="IP44" s="67"/>
      <c r="IQ44" s="67"/>
      <c r="IR44" s="67"/>
      <c r="IS44" s="67"/>
      <c r="IT44" s="67"/>
      <c r="IU44" s="67"/>
      <c r="IV44" s="67"/>
    </row>
    <row r="45" spans="1:256" s="47" customFormat="1" ht="15.75" customHeight="1">
      <c r="A45" s="67"/>
      <c r="B45" s="76" t="s">
        <v>59</v>
      </c>
      <c r="C45" s="86">
        <f>SUM(C43:C44)</f>
        <v>155.80010313504</v>
      </c>
      <c r="E45" s="155" t="s">
        <v>159</v>
      </c>
      <c r="F45"/>
      <c r="G45"/>
      <c r="H45"/>
      <c r="I45" s="117"/>
      <c r="J45" s="117"/>
      <c r="K45" s="117"/>
      <c r="IO45" s="67"/>
      <c r="IP45" s="67"/>
      <c r="IQ45" s="67"/>
      <c r="IR45" s="67"/>
      <c r="IS45" s="67"/>
      <c r="IT45" s="67"/>
      <c r="IU45" s="67"/>
      <c r="IV45" s="67"/>
    </row>
    <row r="46" spans="2:11" s="47" customFormat="1" ht="15.75" customHeight="1">
      <c r="B46" s="197" t="s">
        <v>160</v>
      </c>
      <c r="C46" s="198"/>
      <c r="E46" s="199" t="s">
        <v>127</v>
      </c>
      <c r="F46" s="200" t="s">
        <v>161</v>
      </c>
      <c r="G46" s="199" t="s">
        <v>162</v>
      </c>
      <c r="H46" s="200" t="s">
        <v>163</v>
      </c>
      <c r="I46" s="117"/>
      <c r="J46" s="117"/>
      <c r="K46" s="117"/>
    </row>
    <row r="47" spans="2:11" s="47" customFormat="1" ht="15.75" customHeight="1">
      <c r="B47" s="60" t="s">
        <v>164</v>
      </c>
      <c r="C47" s="79">
        <f>C53*0.0065</f>
        <v>9.707465758486876</v>
      </c>
      <c r="E47" s="199"/>
      <c r="F47" s="200"/>
      <c r="G47" s="199"/>
      <c r="H47" s="200"/>
      <c r="I47" s="117"/>
      <c r="J47" s="117"/>
      <c r="K47" s="117"/>
    </row>
    <row r="48" spans="2:11" s="47" customFormat="1" ht="15.75" customHeight="1">
      <c r="B48" s="72" t="s">
        <v>62</v>
      </c>
      <c r="C48" s="80">
        <f>C53*0.03</f>
        <v>44.80368811609327</v>
      </c>
      <c r="D48" s="201" t="s">
        <v>63</v>
      </c>
      <c r="E48" s="202" t="s">
        <v>132</v>
      </c>
      <c r="F48" s="203">
        <f>+H24</f>
        <v>2.6227921526242954</v>
      </c>
      <c r="G48" s="204">
        <f>+I5</f>
        <v>0</v>
      </c>
      <c r="H48" s="205">
        <f>+G48*F48</f>
        <v>0</v>
      </c>
      <c r="I48" s="117"/>
      <c r="J48" s="117"/>
      <c r="K48" s="117"/>
    </row>
    <row r="49" spans="2:11" s="47" customFormat="1" ht="15.75" customHeight="1">
      <c r="B49" s="90" t="str">
        <f>K2&amp;C18&amp;K1</f>
        <v>ISSQN - 5%</v>
      </c>
      <c r="C49" s="80">
        <f>$C$18%*C53</f>
        <v>74.67281352682213</v>
      </c>
      <c r="D49" s="201" t="s">
        <v>165</v>
      </c>
      <c r="E49" s="156" t="s">
        <v>137</v>
      </c>
      <c r="F49" s="203">
        <f>+H28</f>
        <v>1.3113960763121477</v>
      </c>
      <c r="G49" s="204">
        <f>+I6</f>
        <v>0</v>
      </c>
      <c r="H49" s="205">
        <f>+G49*F49</f>
        <v>0</v>
      </c>
      <c r="I49" s="117"/>
      <c r="J49" s="117"/>
      <c r="K49" s="117"/>
    </row>
    <row r="50" spans="2:11" s="47" customFormat="1" ht="15.75" customHeight="1">
      <c r="B50" s="76" t="s">
        <v>65</v>
      </c>
      <c r="C50" s="206">
        <f>SUM(C47:C49)</f>
        <v>129.18396740140227</v>
      </c>
      <c r="D50" s="57"/>
      <c r="E50" s="156" t="s">
        <v>151</v>
      </c>
      <c r="F50" s="203">
        <f>+K39</f>
        <v>0.5979577435450087</v>
      </c>
      <c r="G50" s="204">
        <f>+I7</f>
        <v>0</v>
      </c>
      <c r="H50" s="205">
        <f>+G50*F50</f>
        <v>0</v>
      </c>
      <c r="I50" s="207"/>
      <c r="J50" s="117"/>
      <c r="K50" s="117"/>
    </row>
    <row r="51" spans="2:11" s="47" customFormat="1" ht="15.75" customHeight="1">
      <c r="B51" s="91" t="s">
        <v>66</v>
      </c>
      <c r="C51" s="92">
        <f>SUM(C38,C41,C45,C50)</f>
        <v>629.4640705364423</v>
      </c>
      <c r="E51" s="156" t="s">
        <v>155</v>
      </c>
      <c r="F51" s="203">
        <f>+K43</f>
        <v>0.1326809745304108</v>
      </c>
      <c r="G51" s="204">
        <f>+I8</f>
        <v>0</v>
      </c>
      <c r="H51" s="205">
        <f>+G51*F51</f>
        <v>0</v>
      </c>
      <c r="I51" s="117"/>
      <c r="J51" s="117"/>
      <c r="K51" s="117"/>
    </row>
    <row r="52" spans="2:11" s="47" customFormat="1" ht="15.75" customHeight="1">
      <c r="B52" s="208"/>
      <c r="C52" s="95"/>
      <c r="E52" s="156" t="s">
        <v>143</v>
      </c>
      <c r="F52" s="203">
        <f>+H32</f>
        <v>4.768713004771445</v>
      </c>
      <c r="G52" s="204">
        <f>I9</f>
        <v>0</v>
      </c>
      <c r="H52" s="205">
        <f>+G52*F52</f>
        <v>0</v>
      </c>
      <c r="I52" s="117"/>
      <c r="J52" s="117"/>
      <c r="K52" s="117"/>
    </row>
    <row r="53" spans="2:11" s="47" customFormat="1" ht="15.75" customHeight="1">
      <c r="B53" s="96" t="s">
        <v>166</v>
      </c>
      <c r="C53" s="209">
        <f>SUM(C31,C38,C41,C45)/((100-(3.65+$C$18))/100)</f>
        <v>1493.4562705364424</v>
      </c>
      <c r="E53" s="210" t="s">
        <v>167</v>
      </c>
      <c r="F53" s="210"/>
      <c r="G53" s="210"/>
      <c r="H53" s="211">
        <f>SUM(H48:H52)</f>
        <v>0</v>
      </c>
      <c r="I53" s="117"/>
      <c r="J53" s="117"/>
      <c r="K53" s="117"/>
    </row>
    <row r="54" spans="2:11" s="47" customFormat="1" ht="15.75" customHeight="1">
      <c r="B54" s="99" t="s">
        <v>69</v>
      </c>
      <c r="C54" s="100">
        <f>C53/(SUM(C27:C29))</f>
        <v>2.975012491108451</v>
      </c>
      <c r="E54"/>
      <c r="F54" s="117"/>
      <c r="G54" s="117"/>
      <c r="H54" s="117"/>
      <c r="I54" s="117"/>
      <c r="J54" s="117"/>
      <c r="K54" s="148"/>
    </row>
    <row r="55" spans="2:11" s="47" customFormat="1" ht="12.75">
      <c r="B55" s="102"/>
      <c r="C55" s="102"/>
      <c r="E55" s="143" t="s">
        <v>168</v>
      </c>
      <c r="F55" s="145"/>
      <c r="G55" s="145"/>
      <c r="H55" s="145"/>
      <c r="I55" s="145"/>
      <c r="J55" s="212"/>
      <c r="K55" s="148"/>
    </row>
    <row r="56" spans="2:11" s="106" customFormat="1" ht="15.75" customHeight="1">
      <c r="B56" s="143" t="s">
        <v>169</v>
      </c>
      <c r="C56" s="213"/>
      <c r="D56" s="115"/>
      <c r="E56" s="214" t="s">
        <v>170</v>
      </c>
      <c r="F56" s="122"/>
      <c r="G56" s="122"/>
      <c r="H56" s="215"/>
      <c r="I56" s="215"/>
      <c r="J56" s="216"/>
      <c r="K56" s="148"/>
    </row>
    <row r="57" spans="2:11" s="115" customFormat="1" ht="15.75" customHeight="1">
      <c r="B57" s="217" t="s">
        <v>171</v>
      </c>
      <c r="C57" s="218"/>
      <c r="D57" s="219"/>
      <c r="E57" s="220" t="s">
        <v>172</v>
      </c>
      <c r="F57" s="215"/>
      <c r="G57" s="215"/>
      <c r="H57" s="215"/>
      <c r="I57" s="215"/>
      <c r="J57" s="216"/>
      <c r="K57" s="148"/>
    </row>
    <row r="58" spans="2:11" s="115" customFormat="1" ht="15.75" customHeight="1">
      <c r="B58" s="149" t="s">
        <v>173</v>
      </c>
      <c r="C58" s="218"/>
      <c r="D58" s="219"/>
      <c r="E58" s="221" t="s">
        <v>174</v>
      </c>
      <c r="F58" s="215"/>
      <c r="G58" s="215"/>
      <c r="H58" s="215"/>
      <c r="I58" s="215"/>
      <c r="J58" s="216"/>
      <c r="K58" s="148"/>
    </row>
    <row r="59" spans="2:11" s="115" customFormat="1" ht="15.75" customHeight="1">
      <c r="B59" s="220" t="s">
        <v>175</v>
      </c>
      <c r="C59" s="218"/>
      <c r="D59" s="219"/>
      <c r="E59" s="220" t="s">
        <v>176</v>
      </c>
      <c r="F59" s="215"/>
      <c r="G59" s="215"/>
      <c r="H59" s="215"/>
      <c r="I59" s="215"/>
      <c r="J59" s="216"/>
      <c r="K59" s="148"/>
    </row>
    <row r="60" spans="2:11" s="115" customFormat="1" ht="15.75" customHeight="1">
      <c r="B60" s="220" t="s">
        <v>177</v>
      </c>
      <c r="C60" s="218"/>
      <c r="D60" s="219"/>
      <c r="E60" s="221" t="s">
        <v>178</v>
      </c>
      <c r="F60" s="215"/>
      <c r="G60" s="215"/>
      <c r="H60" s="215"/>
      <c r="I60" s="148"/>
      <c r="J60" s="150"/>
      <c r="K60" s="148"/>
    </row>
    <row r="61" spans="2:11" s="47" customFormat="1" ht="15.75" customHeight="1">
      <c r="B61" s="149" t="s">
        <v>179</v>
      </c>
      <c r="C61" s="218"/>
      <c r="D61" s="215"/>
      <c r="E61" s="222" t="s">
        <v>180</v>
      </c>
      <c r="F61" s="223"/>
      <c r="G61" s="223"/>
      <c r="H61" s="223"/>
      <c r="I61" s="223"/>
      <c r="J61" s="224"/>
      <c r="K61" s="148"/>
    </row>
    <row r="62" spans="2:11" s="47" customFormat="1" ht="15.75" customHeight="1">
      <c r="B62" s="149" t="s">
        <v>181</v>
      </c>
      <c r="C62" s="218"/>
      <c r="D62" s="215"/>
      <c r="K62" s="215"/>
    </row>
    <row r="63" spans="2:9" s="47" customFormat="1" ht="15.75" customHeight="1">
      <c r="B63" s="220" t="s">
        <v>182</v>
      </c>
      <c r="C63" s="218"/>
      <c r="D63" s="215"/>
      <c r="E63" s="115"/>
      <c r="F63" s="115"/>
      <c r="G63" s="115"/>
      <c r="H63" s="115"/>
      <c r="I63" s="115"/>
    </row>
    <row r="64" spans="2:9" s="115" customFormat="1" ht="15.75" customHeight="1">
      <c r="B64" s="149" t="s">
        <v>183</v>
      </c>
      <c r="C64" s="218"/>
      <c r="D64" s="219"/>
      <c r="E64" s="47"/>
      <c r="F64" s="47"/>
      <c r="G64" s="47"/>
      <c r="H64" s="47"/>
      <c r="I64" s="47"/>
    </row>
    <row r="65" spans="2:4" s="47" customFormat="1" ht="15.75" customHeight="1">
      <c r="B65" s="220" t="s">
        <v>184</v>
      </c>
      <c r="C65" s="218"/>
      <c r="D65" s="215"/>
    </row>
    <row r="66" spans="2:9" s="47" customFormat="1" ht="15.75" customHeight="1">
      <c r="B66" s="149" t="s">
        <v>185</v>
      </c>
      <c r="C66" s="218"/>
      <c r="D66" s="215"/>
      <c r="F66" s="106"/>
      <c r="G66" s="106"/>
      <c r="H66" s="106"/>
      <c r="I66" s="106"/>
    </row>
    <row r="67" spans="2:5" s="106" customFormat="1" ht="15.75" customHeight="1">
      <c r="B67" s="149" t="s">
        <v>186</v>
      </c>
      <c r="C67" s="218"/>
      <c r="E67" s="47"/>
    </row>
    <row r="68" spans="2:9" s="106" customFormat="1" ht="15.75" customHeight="1">
      <c r="B68" s="149" t="s">
        <v>187</v>
      </c>
      <c r="C68" s="218"/>
      <c r="E68" s="47"/>
      <c r="F68" s="47"/>
      <c r="G68" s="47"/>
      <c r="H68" s="47"/>
      <c r="I68" s="47"/>
    </row>
    <row r="69" spans="2:4" s="47" customFormat="1" ht="15.75" customHeight="1">
      <c r="B69" s="217" t="s">
        <v>188</v>
      </c>
      <c r="C69" s="218"/>
      <c r="D69" s="215"/>
    </row>
    <row r="70" spans="2:4" s="47" customFormat="1" ht="15.75" customHeight="1">
      <c r="B70" s="217" t="s">
        <v>189</v>
      </c>
      <c r="C70" s="218"/>
      <c r="D70" s="215"/>
    </row>
    <row r="71" spans="2:9" s="47" customFormat="1" ht="15.75" customHeight="1">
      <c r="B71" s="225"/>
      <c r="C71" s="226"/>
      <c r="E71" s="1"/>
      <c r="F71" s="1"/>
      <c r="G71" s="1"/>
      <c r="H71" s="1"/>
      <c r="I71" s="1"/>
    </row>
    <row r="72" spans="2:3" ht="12.75">
      <c r="B72" s="47"/>
      <c r="C72" s="47"/>
    </row>
    <row r="75" spans="2:3" ht="12.75" customHeight="1">
      <c r="B75" s="3" t="s">
        <v>0</v>
      </c>
      <c r="C75" s="3"/>
    </row>
    <row r="76" spans="2:3" ht="12.75">
      <c r="B76" s="5" t="s">
        <v>4</v>
      </c>
      <c r="C76" s="5"/>
    </row>
    <row r="77" spans="2:3" ht="12.75">
      <c r="B77" s="5" t="s">
        <v>97</v>
      </c>
      <c r="C77" s="5"/>
    </row>
    <row r="78" spans="2:3" ht="12.75">
      <c r="B78" s="7" t="s">
        <v>190</v>
      </c>
      <c r="C78" s="126">
        <v>1004</v>
      </c>
    </row>
    <row r="79" spans="2:3" ht="12.75">
      <c r="B79" s="7" t="s">
        <v>105</v>
      </c>
      <c r="C79" s="130">
        <v>0</v>
      </c>
    </row>
    <row r="80" spans="2:3" ht="12.75">
      <c r="B80" s="7" t="s">
        <v>107</v>
      </c>
      <c r="C80" s="130">
        <v>0</v>
      </c>
    </row>
    <row r="81" spans="2:3" ht="12.75">
      <c r="B81" s="22" t="s">
        <v>191</v>
      </c>
      <c r="C81" s="227"/>
    </row>
    <row r="82" spans="2:3" ht="12.75">
      <c r="B82" s="135" t="s">
        <v>14</v>
      </c>
      <c r="C82" s="135"/>
    </row>
    <row r="83" spans="2:3" ht="12.75">
      <c r="B83" s="139" t="s">
        <v>192</v>
      </c>
      <c r="C83" s="140">
        <v>20</v>
      </c>
    </row>
    <row r="84" spans="2:3" ht="12.75">
      <c r="B84" s="141" t="s">
        <v>193</v>
      </c>
      <c r="C84" s="142">
        <v>6.5</v>
      </c>
    </row>
    <row r="85" spans="2:3" ht="12.75">
      <c r="B85" s="7" t="s">
        <v>194</v>
      </c>
      <c r="C85" s="31">
        <v>5.3</v>
      </c>
    </row>
    <row r="86" spans="2:3" ht="12.75">
      <c r="B86" s="7" t="s">
        <v>195</v>
      </c>
      <c r="C86" s="31">
        <v>0</v>
      </c>
    </row>
    <row r="87" spans="2:3" ht="12.75">
      <c r="B87" s="22" t="s">
        <v>196</v>
      </c>
      <c r="C87" s="36">
        <v>0</v>
      </c>
    </row>
    <row r="88" spans="2:3" ht="12.75">
      <c r="B88" s="41" t="s">
        <v>24</v>
      </c>
      <c r="C88" s="41"/>
    </row>
    <row r="89" spans="2:3" ht="12.75">
      <c r="B89" s="42" t="s">
        <v>124</v>
      </c>
      <c r="C89" s="157">
        <v>5</v>
      </c>
    </row>
    <row r="90" spans="2:3" ht="12.75">
      <c r="B90" s="228"/>
      <c r="C90" s="229"/>
    </row>
    <row r="91" spans="2:3" ht="12.75">
      <c r="B91" s="158"/>
      <c r="C91" s="159"/>
    </row>
    <row r="92" spans="2:3" ht="15">
      <c r="B92" s="48" t="s">
        <v>131</v>
      </c>
      <c r="C92" s="47"/>
    </row>
    <row r="93" spans="2:3" ht="15">
      <c r="B93" s="48" t="s">
        <v>197</v>
      </c>
      <c r="C93" s="50" t="s">
        <v>28</v>
      </c>
    </row>
    <row r="94" spans="2:3" ht="15">
      <c r="B94" s="48"/>
      <c r="C94" s="50"/>
    </row>
    <row r="95" spans="2:3" ht="12.75" customHeight="1">
      <c r="B95" s="53" t="s">
        <v>30</v>
      </c>
      <c r="C95" s="53" t="s">
        <v>135</v>
      </c>
    </row>
    <row r="96" spans="2:3" ht="12.75">
      <c r="B96" s="53"/>
      <c r="C96" s="53"/>
    </row>
    <row r="97" spans="2:3" ht="12.75">
      <c r="B97" s="78" t="s">
        <v>138</v>
      </c>
      <c r="C97" s="87"/>
    </row>
    <row r="98" spans="2:3" ht="12.75">
      <c r="B98" s="177" t="s">
        <v>139</v>
      </c>
      <c r="C98" s="79">
        <f>C78</f>
        <v>1004</v>
      </c>
    </row>
    <row r="99" spans="2:3" ht="12.75">
      <c r="B99" s="177" t="s">
        <v>140</v>
      </c>
      <c r="C99" s="79">
        <f>C78*C80%</f>
        <v>0</v>
      </c>
    </row>
    <row r="100" spans="2:3" ht="12.75">
      <c r="B100" s="60" t="s">
        <v>142</v>
      </c>
      <c r="C100" s="61">
        <f>C78*C80%</f>
        <v>0</v>
      </c>
    </row>
    <row r="101" spans="2:3" ht="12.75">
      <c r="B101" s="72" t="s">
        <v>144</v>
      </c>
      <c r="C101" s="80">
        <f>SUM(C98:C100)*0.7211</f>
        <v>723.9844</v>
      </c>
    </row>
    <row r="102" spans="2:3" ht="12.75">
      <c r="B102" s="76" t="s">
        <v>43</v>
      </c>
      <c r="C102" s="178">
        <f>SUM(C98:C101)</f>
        <v>1727.9844</v>
      </c>
    </row>
    <row r="103" spans="2:3" ht="12.75">
      <c r="B103" s="78" t="s">
        <v>44</v>
      </c>
      <c r="C103" s="179"/>
    </row>
    <row r="104" spans="2:3" ht="12.75">
      <c r="B104" s="60" t="s">
        <v>45</v>
      </c>
      <c r="C104" s="79">
        <f>C83</f>
        <v>20</v>
      </c>
    </row>
    <row r="105" spans="2:3" ht="12.75">
      <c r="B105" s="72" t="s">
        <v>46</v>
      </c>
      <c r="C105" s="80">
        <f>($C$84*22)-(C98*0.06)</f>
        <v>82.76</v>
      </c>
    </row>
    <row r="106" spans="2:3" ht="12.75">
      <c r="B106" s="72" t="s">
        <v>47</v>
      </c>
      <c r="C106" s="182">
        <f>$C$85*22</f>
        <v>116.6</v>
      </c>
    </row>
    <row r="107" spans="2:3" ht="12" customHeight="1">
      <c r="B107" s="72" t="s">
        <v>48</v>
      </c>
      <c r="C107" s="80">
        <f>+C86</f>
        <v>0</v>
      </c>
    </row>
    <row r="108" spans="2:3" ht="12" customHeight="1">
      <c r="B108" s="74" t="s">
        <v>152</v>
      </c>
      <c r="C108" s="80">
        <f>C87</f>
        <v>0</v>
      </c>
    </row>
    <row r="109" spans="2:3" ht="12.75">
      <c r="B109" s="76" t="s">
        <v>52</v>
      </c>
      <c r="C109" s="86">
        <f>SUM(C104:C108)</f>
        <v>219.36</v>
      </c>
    </row>
    <row r="110" spans="2:3" ht="12.75">
      <c r="B110" s="54" t="s">
        <v>56</v>
      </c>
      <c r="C110" s="55"/>
    </row>
    <row r="111" spans="2:3" ht="12.75">
      <c r="B111" s="72" t="s">
        <v>156</v>
      </c>
      <c r="C111" s="195">
        <f>(SUM($C$102+$C$109))*0.0531</f>
        <v>103.40398764</v>
      </c>
    </row>
    <row r="112" spans="2:3" ht="12.75">
      <c r="B112" s="74" t="s">
        <v>158</v>
      </c>
      <c r="C112" s="195">
        <f>(SUM($C$102+$C$109+$C$111))*0.072</f>
        <v>147.65388391008003</v>
      </c>
    </row>
    <row r="113" spans="2:3" ht="12.75">
      <c r="B113" s="76" t="s">
        <v>59</v>
      </c>
      <c r="C113" s="86">
        <f>SUM(C111:C112)</f>
        <v>251.05787155008002</v>
      </c>
    </row>
    <row r="114" spans="2:3" ht="12.75">
      <c r="B114" s="197" t="s">
        <v>160</v>
      </c>
      <c r="C114" s="198"/>
    </row>
    <row r="115" spans="2:3" ht="12.75">
      <c r="B115" s="60" t="s">
        <v>164</v>
      </c>
      <c r="C115" s="79">
        <f>C121*0.0065</f>
        <v>15.642709102436259</v>
      </c>
    </row>
    <row r="116" spans="2:3" ht="12.75">
      <c r="B116" s="72" t="s">
        <v>62</v>
      </c>
      <c r="C116" s="80">
        <f>C121*0.03</f>
        <v>72.19711893432118</v>
      </c>
    </row>
    <row r="117" spans="2:3" ht="12.75">
      <c r="B117" s="72" t="str">
        <f>K2&amp;C18&amp;K1</f>
        <v>ISSQN - 5%</v>
      </c>
      <c r="C117" s="80">
        <f>$C$89%*C121</f>
        <v>120.32853155720198</v>
      </c>
    </row>
    <row r="118" spans="2:3" ht="12.75">
      <c r="B118" s="76" t="s">
        <v>65</v>
      </c>
      <c r="C118" s="206">
        <f>SUM(C115:C117)</f>
        <v>208.16835959395942</v>
      </c>
    </row>
    <row r="119" spans="2:3" ht="13.5" customHeight="1">
      <c r="B119" s="91" t="s">
        <v>66</v>
      </c>
      <c r="C119" s="92">
        <f>SUM(C109,C113,C118)</f>
        <v>678.5862311440394</v>
      </c>
    </row>
    <row r="120" spans="2:3" ht="12.75">
      <c r="B120" s="208"/>
      <c r="C120" s="95"/>
    </row>
    <row r="121" spans="2:3" ht="12.75">
      <c r="B121" s="96" t="s">
        <v>166</v>
      </c>
      <c r="C121" s="209">
        <f>SUM(C102,C109,C113)/((100-(3.65+$C$89))/100)</f>
        <v>2406.5706311440395</v>
      </c>
    </row>
    <row r="122" spans="2:3" ht="12.75">
      <c r="B122" s="99" t="s">
        <v>69</v>
      </c>
      <c r="C122" s="100">
        <f>C121/(SUM(C98:C100))</f>
        <v>2.3969827003426687</v>
      </c>
    </row>
    <row r="123" spans="2:3" ht="12.75">
      <c r="B123" s="102"/>
      <c r="C123" s="102"/>
    </row>
    <row r="124" spans="2:3" ht="12.75">
      <c r="B124" s="143" t="s">
        <v>198</v>
      </c>
      <c r="C124" s="213"/>
    </row>
    <row r="125" spans="2:3" ht="12.75">
      <c r="B125" s="217" t="s">
        <v>171</v>
      </c>
      <c r="C125" s="218"/>
    </row>
    <row r="126" spans="2:3" ht="12.75">
      <c r="B126" s="149" t="s">
        <v>173</v>
      </c>
      <c r="C126" s="218"/>
    </row>
    <row r="127" spans="2:3" ht="12.75">
      <c r="B127" s="220" t="s">
        <v>175</v>
      </c>
      <c r="C127" s="218"/>
    </row>
    <row r="128" spans="2:3" ht="12.75">
      <c r="B128" s="220" t="s">
        <v>199</v>
      </c>
      <c r="C128" s="218"/>
    </row>
    <row r="129" spans="2:3" ht="12.75">
      <c r="B129" s="221" t="s">
        <v>200</v>
      </c>
      <c r="C129" s="218"/>
    </row>
    <row r="130" spans="2:3" ht="12.75">
      <c r="B130" s="220" t="s">
        <v>201</v>
      </c>
      <c r="C130" s="218"/>
    </row>
    <row r="131" spans="2:3" ht="12.75">
      <c r="B131" s="149" t="s">
        <v>202</v>
      </c>
      <c r="C131" s="218"/>
    </row>
    <row r="132" spans="2:3" ht="12.75">
      <c r="B132" s="149" t="s">
        <v>203</v>
      </c>
      <c r="C132" s="218"/>
    </row>
    <row r="133" spans="2:3" ht="12.75">
      <c r="B133" s="220" t="s">
        <v>204</v>
      </c>
      <c r="C133" s="218"/>
    </row>
    <row r="134" spans="2:3" ht="12.75">
      <c r="B134" s="149" t="s">
        <v>205</v>
      </c>
      <c r="C134" s="218"/>
    </row>
    <row r="135" spans="2:3" ht="12.75">
      <c r="B135" s="149" t="s">
        <v>185</v>
      </c>
      <c r="C135" s="218"/>
    </row>
    <row r="136" spans="2:3" ht="12.75">
      <c r="B136" s="149" t="s">
        <v>186</v>
      </c>
      <c r="C136" s="218"/>
    </row>
    <row r="137" spans="2:3" ht="12.75">
      <c r="B137" s="149" t="s">
        <v>187</v>
      </c>
      <c r="C137" s="218"/>
    </row>
    <row r="138" spans="2:3" ht="12.75">
      <c r="B138" s="217" t="s">
        <v>188</v>
      </c>
      <c r="C138" s="218"/>
    </row>
    <row r="139" spans="2:3" ht="12.75">
      <c r="B139" s="217" t="s">
        <v>189</v>
      </c>
      <c r="C139" s="218"/>
    </row>
    <row r="140" spans="2:3" ht="12.75">
      <c r="B140" s="225"/>
      <c r="C140" s="226"/>
    </row>
  </sheetData>
  <mergeCells count="32">
    <mergeCell ref="B2:C2"/>
    <mergeCell ref="E2:I2"/>
    <mergeCell ref="B3:C3"/>
    <mergeCell ref="B4:C4"/>
    <mergeCell ref="B8:C8"/>
    <mergeCell ref="B9:C9"/>
    <mergeCell ref="B15:C15"/>
    <mergeCell ref="B17:C17"/>
    <mergeCell ref="B24:B25"/>
    <mergeCell ref="C24:C25"/>
    <mergeCell ref="F24:G24"/>
    <mergeCell ref="F28:G28"/>
    <mergeCell ref="E32:G32"/>
    <mergeCell ref="E34:E35"/>
    <mergeCell ref="F34:F35"/>
    <mergeCell ref="G34:G35"/>
    <mergeCell ref="H34:H35"/>
    <mergeCell ref="I34:I35"/>
    <mergeCell ref="J34:J35"/>
    <mergeCell ref="K34:K35"/>
    <mergeCell ref="E46:E47"/>
    <mergeCell ref="F46:F47"/>
    <mergeCell ref="G46:G47"/>
    <mergeCell ref="H46:H47"/>
    <mergeCell ref="E53:G53"/>
    <mergeCell ref="B75:C75"/>
    <mergeCell ref="B76:C76"/>
    <mergeCell ref="B77:C77"/>
    <mergeCell ref="B82:C82"/>
    <mergeCell ref="B88:C88"/>
    <mergeCell ref="B95:B96"/>
    <mergeCell ref="C95:C96"/>
  </mergeCells>
  <dataValidations count="1">
    <dataValidation operator="equal" allowBlank="1" showErrorMessage="1" errorTitle="Erro" error="Não é permitido escrever nesta célula" sqref="C81">
      <formula1>0</formula1>
    </dataValidation>
  </dataValidations>
  <printOptions/>
  <pageMargins left="0.22083333333333333" right="0.08819444444444445" top="0.5805555555555555" bottom="1.0527777777777778" header="0.31527777777777777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rowBreaks count="1" manualBreakCount="1">
    <brk id="54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3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5.7109375" style="1" customWidth="1"/>
    <col min="2" max="2" width="94.574218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3" t="s">
        <v>0</v>
      </c>
      <c r="C2" s="3"/>
    </row>
    <row r="3" spans="2:3" ht="15.75" customHeight="1">
      <c r="B3" s="5" t="s">
        <v>4</v>
      </c>
      <c r="C3" s="5"/>
    </row>
    <row r="4" spans="2:3" ht="15.75" customHeight="1">
      <c r="B4" s="5" t="s">
        <v>97</v>
      </c>
      <c r="C4" s="5"/>
    </row>
    <row r="5" spans="2:3" ht="15.75" customHeight="1">
      <c r="B5" s="7" t="s">
        <v>206</v>
      </c>
      <c r="C5" s="126">
        <v>502</v>
      </c>
    </row>
    <row r="6" spans="2:3" ht="15.75" customHeight="1">
      <c r="B6" s="7" t="s">
        <v>207</v>
      </c>
      <c r="C6" s="17">
        <v>0</v>
      </c>
    </row>
    <row r="7" spans="2:3" ht="15.75" customHeight="1">
      <c r="B7" s="7" t="s">
        <v>208</v>
      </c>
      <c r="C7" s="17">
        <v>0</v>
      </c>
    </row>
    <row r="8" spans="2:3" ht="15.75" customHeight="1">
      <c r="B8" s="22" t="s">
        <v>191</v>
      </c>
      <c r="C8" s="25">
        <v>12</v>
      </c>
    </row>
    <row r="9" spans="2:3" ht="15.75" customHeight="1">
      <c r="B9" s="135" t="s">
        <v>14</v>
      </c>
      <c r="C9" s="135"/>
    </row>
    <row r="10" spans="2:3" ht="15.75" customHeight="1">
      <c r="B10" s="139" t="s">
        <v>192</v>
      </c>
      <c r="C10" s="140">
        <v>20</v>
      </c>
    </row>
    <row r="11" spans="2:3" ht="15.75" customHeight="1">
      <c r="B11" s="141" t="s">
        <v>193</v>
      </c>
      <c r="C11" s="142">
        <v>6</v>
      </c>
    </row>
    <row r="12" spans="2:3" ht="15.75" customHeight="1">
      <c r="B12" s="7" t="s">
        <v>194</v>
      </c>
      <c r="C12" s="31">
        <v>5.1</v>
      </c>
    </row>
    <row r="13" spans="2:3" ht="15.75" customHeight="1">
      <c r="B13" s="7" t="s">
        <v>195</v>
      </c>
      <c r="C13" s="31">
        <v>0</v>
      </c>
    </row>
    <row r="14" spans="2:3" ht="15.75" customHeight="1">
      <c r="B14" s="22" t="s">
        <v>196</v>
      </c>
      <c r="C14" s="36">
        <v>0</v>
      </c>
    </row>
    <row r="15" spans="2:3" ht="15.75" customHeight="1">
      <c r="B15" s="5" t="s">
        <v>120</v>
      </c>
      <c r="C15" s="5"/>
    </row>
    <row r="16" spans="2:3" ht="15.75" customHeight="1">
      <c r="B16" s="139" t="s">
        <v>209</v>
      </c>
      <c r="C16" s="140">
        <v>0</v>
      </c>
    </row>
    <row r="17" spans="2:3" ht="15.75" customHeight="1">
      <c r="B17" s="41" t="s">
        <v>24</v>
      </c>
      <c r="C17" s="41"/>
    </row>
    <row r="18" spans="2:3" ht="15.75" customHeight="1">
      <c r="B18" s="42" t="s">
        <v>210</v>
      </c>
      <c r="C18" s="157">
        <v>5</v>
      </c>
    </row>
    <row r="19" spans="2:3" ht="15.75" customHeight="1">
      <c r="B19" s="158"/>
      <c r="C19" s="159"/>
    </row>
    <row r="20" s="47" customFormat="1" ht="15.75" customHeight="1">
      <c r="B20" s="48" t="s">
        <v>131</v>
      </c>
    </row>
    <row r="21" spans="2:3" s="47" customFormat="1" ht="15.75" customHeight="1">
      <c r="B21" s="48" t="s">
        <v>211</v>
      </c>
      <c r="C21" s="50" t="s">
        <v>28</v>
      </c>
    </row>
    <row r="22" spans="2:3" s="47" customFormat="1" ht="15.75" customHeight="1">
      <c r="B22" s="169"/>
      <c r="C22" s="52"/>
    </row>
    <row r="23" spans="2:3" s="47" customFormat="1" ht="15.75" customHeight="1">
      <c r="B23" s="53" t="s">
        <v>30</v>
      </c>
      <c r="C23" s="53" t="s">
        <v>135</v>
      </c>
    </row>
    <row r="24" spans="2:3" s="47" customFormat="1" ht="15.75" customHeight="1">
      <c r="B24" s="53"/>
      <c r="C24" s="53"/>
    </row>
    <row r="25" spans="2:3" s="47" customFormat="1" ht="15.75" customHeight="1">
      <c r="B25" s="78" t="s">
        <v>138</v>
      </c>
      <c r="C25" s="87"/>
    </row>
    <row r="26" spans="2:3" s="57" customFormat="1" ht="15.75" customHeight="1">
      <c r="B26" s="177" t="s">
        <v>212</v>
      </c>
      <c r="C26" s="79">
        <f>+C5</f>
        <v>502</v>
      </c>
    </row>
    <row r="27" spans="2:3" s="57" customFormat="1" ht="15.75" customHeight="1">
      <c r="B27" s="177" t="s">
        <v>140</v>
      </c>
      <c r="C27" s="79">
        <f>C5*C6%</f>
        <v>0</v>
      </c>
    </row>
    <row r="28" spans="2:3" s="57" customFormat="1" ht="15.75" customHeight="1">
      <c r="B28" s="60" t="s">
        <v>142</v>
      </c>
      <c r="C28" s="61">
        <f>C5*C7%</f>
        <v>0</v>
      </c>
    </row>
    <row r="29" spans="2:3" s="47" customFormat="1" ht="15.75" customHeight="1">
      <c r="B29" s="72" t="s">
        <v>213</v>
      </c>
      <c r="C29" s="80">
        <f>SUM(C26:C28)*0.7211</f>
        <v>361.9922</v>
      </c>
    </row>
    <row r="30" spans="2:3" s="47" customFormat="1" ht="15.75" customHeight="1">
      <c r="B30" s="74" t="s">
        <v>214</v>
      </c>
      <c r="C30" s="230">
        <f>+C8</f>
        <v>12</v>
      </c>
    </row>
    <row r="31" spans="2:3" s="47" customFormat="1" ht="15.75" customHeight="1">
      <c r="B31" s="76" t="s">
        <v>43</v>
      </c>
      <c r="C31" s="178">
        <f>SUM(C26:C29)</f>
        <v>863.9922</v>
      </c>
    </row>
    <row r="32" spans="2:3" s="47" customFormat="1" ht="15.75" customHeight="1">
      <c r="B32" s="78" t="s">
        <v>44</v>
      </c>
      <c r="C32" s="179"/>
    </row>
    <row r="33" spans="2:3" s="47" customFormat="1" ht="15.75" customHeight="1">
      <c r="B33" s="60" t="s">
        <v>45</v>
      </c>
      <c r="C33" s="79">
        <f>C10</f>
        <v>20</v>
      </c>
    </row>
    <row r="34" spans="2:3" s="47" customFormat="1" ht="15.75" customHeight="1">
      <c r="B34" s="72" t="s">
        <v>46</v>
      </c>
      <c r="C34" s="80">
        <f>($C$11*22)-(C26*0.06)</f>
        <v>101.88</v>
      </c>
    </row>
    <row r="35" spans="2:3" s="47" customFormat="1" ht="15.75" customHeight="1">
      <c r="B35" s="72" t="s">
        <v>47</v>
      </c>
      <c r="C35" s="182">
        <f>$C$12*22</f>
        <v>112.19999999999999</v>
      </c>
    </row>
    <row r="36" spans="2:3" s="47" customFormat="1" ht="15.75" customHeight="1">
      <c r="B36" s="72" t="s">
        <v>48</v>
      </c>
      <c r="C36" s="80">
        <f>+C13</f>
        <v>0</v>
      </c>
    </row>
    <row r="37" spans="2:4" s="47" customFormat="1" ht="15.75" customHeight="1">
      <c r="B37" s="74" t="s">
        <v>152</v>
      </c>
      <c r="C37" s="80">
        <f>C14</f>
        <v>0</v>
      </c>
      <c r="D37" s="184"/>
    </row>
    <row r="38" spans="2:4" s="47" customFormat="1" ht="15.75" customHeight="1">
      <c r="B38" s="76" t="s">
        <v>52</v>
      </c>
      <c r="C38" s="86">
        <f>SUM(C33:C37)</f>
        <v>234.07999999999998</v>
      </c>
      <c r="D38" s="184"/>
    </row>
    <row r="39" spans="2:4" s="47" customFormat="1" ht="15.75" customHeight="1">
      <c r="B39" s="78" t="s">
        <v>53</v>
      </c>
      <c r="C39" s="79"/>
      <c r="D39" s="184"/>
    </row>
    <row r="40" spans="2:26" s="47" customFormat="1" ht="15.75" customHeight="1">
      <c r="B40" s="60" t="s">
        <v>215</v>
      </c>
      <c r="C40" s="79">
        <f>+C16</f>
        <v>0</v>
      </c>
      <c r="D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s="67" customFormat="1" ht="15.75" customHeight="1">
      <c r="A41" s="47"/>
      <c r="B41" s="76" t="s">
        <v>55</v>
      </c>
      <c r="C41" s="83">
        <f>+C40</f>
        <v>0</v>
      </c>
      <c r="D41" s="184"/>
      <c r="E41" s="47"/>
      <c r="F41" s="47"/>
      <c r="G41" s="47"/>
      <c r="H41" s="47"/>
      <c r="I41" s="47"/>
      <c r="J41" s="47"/>
      <c r="K41" s="47"/>
      <c r="L41" s="47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 s="67" customFormat="1" ht="15.75" customHeight="1">
      <c r="A42" s="47"/>
      <c r="B42" s="54" t="s">
        <v>56</v>
      </c>
      <c r="C42" s="55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</row>
    <row r="43" spans="2:26" s="67" customFormat="1" ht="15.75" customHeight="1">
      <c r="B43" s="72" t="s">
        <v>216</v>
      </c>
      <c r="C43" s="195">
        <f>(SUM($C$31+$C$38+$C$41))*0.0531</f>
        <v>58.30763382000001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</row>
    <row r="44" spans="2:26" s="47" customFormat="1" ht="15.75" customHeight="1">
      <c r="B44" s="74" t="s">
        <v>217</v>
      </c>
      <c r="C44" s="195">
        <f>(SUM($C$31+$C$38+$C$41+C43))*0.072</f>
        <v>83.25934803504002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2:14" s="47" customFormat="1" ht="15.75" customHeight="1">
      <c r="B45" s="76" t="s">
        <v>59</v>
      </c>
      <c r="C45" s="86">
        <f>SUM(C43:C44)</f>
        <v>141.56698185504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2:3" s="47" customFormat="1" ht="15.75" customHeight="1">
      <c r="B46" s="197" t="s">
        <v>218</v>
      </c>
      <c r="C46" s="198"/>
    </row>
    <row r="47" spans="2:3" s="47" customFormat="1" ht="15.75" customHeight="1">
      <c r="B47" s="60" t="s">
        <v>164</v>
      </c>
      <c r="C47" s="79">
        <f>$C$53*0.0065</f>
        <v>8.820640046040243</v>
      </c>
    </row>
    <row r="48" spans="2:4" s="47" customFormat="1" ht="15.75" customHeight="1">
      <c r="B48" s="72" t="s">
        <v>62</v>
      </c>
      <c r="C48" s="80">
        <f>$C$53*0.03</f>
        <v>40.710646366339574</v>
      </c>
      <c r="D48" s="201" t="s">
        <v>63</v>
      </c>
    </row>
    <row r="49" spans="2:4" s="47" customFormat="1" ht="15.75" customHeight="1">
      <c r="B49" s="90" t="str">
        <f>(D48&amp;C18&amp;D49)</f>
        <v>ISSQN - 5 %</v>
      </c>
      <c r="C49" s="80">
        <f>$C$18%*C53</f>
        <v>67.85107727723263</v>
      </c>
      <c r="D49" s="201" t="s">
        <v>165</v>
      </c>
    </row>
    <row r="50" spans="2:5" s="47" customFormat="1" ht="15.75" customHeight="1">
      <c r="B50" s="76" t="s">
        <v>65</v>
      </c>
      <c r="C50" s="206">
        <f>SUM(C47:C49)</f>
        <v>117.38236368961245</v>
      </c>
      <c r="D50" s="57"/>
      <c r="E50" s="57"/>
    </row>
    <row r="51" spans="2:5" s="47" customFormat="1" ht="15.75" customHeight="1">
      <c r="B51" s="91" t="s">
        <v>66</v>
      </c>
      <c r="C51" s="92">
        <f>SUM(C38,C41,C45,C50)</f>
        <v>493.0293455446524</v>
      </c>
      <c r="E51" s="57"/>
    </row>
    <row r="52" spans="2:3" s="47" customFormat="1" ht="15.75" customHeight="1">
      <c r="B52" s="208"/>
      <c r="C52" s="95"/>
    </row>
    <row r="53" spans="2:5" s="47" customFormat="1" ht="15.75" customHeight="1">
      <c r="B53" s="96" t="s">
        <v>166</v>
      </c>
      <c r="C53" s="209">
        <f>SUM(C31,C38,C41,C45)/((100-(3.65+$C$18))/100)</f>
        <v>1357.0215455446526</v>
      </c>
      <c r="E53" s="57"/>
    </row>
    <row r="54" spans="2:3" s="47" customFormat="1" ht="15.75" customHeight="1">
      <c r="B54" s="76" t="s">
        <v>219</v>
      </c>
      <c r="C54" s="231">
        <f>(C30*C53)</f>
        <v>16284.258546535832</v>
      </c>
    </row>
    <row r="55" spans="2:12" s="106" customFormat="1" ht="15.75" customHeight="1">
      <c r="B55" s="99" t="s">
        <v>69</v>
      </c>
      <c r="C55" s="100">
        <f>C53/(SUM(C26:C28))</f>
        <v>2.703230170407674</v>
      </c>
      <c r="D55" s="47"/>
      <c r="E55" s="47"/>
      <c r="F55" s="47"/>
      <c r="G55" s="47"/>
      <c r="H55" s="47"/>
      <c r="I55" s="47"/>
      <c r="J55" s="47"/>
      <c r="K55" s="47"/>
      <c r="L55" s="47"/>
    </row>
    <row r="56" spans="2:12" s="115" customFormat="1" ht="15.75" customHeight="1">
      <c r="B56" s="102"/>
      <c r="C56" s="102"/>
      <c r="D56" s="47"/>
      <c r="E56" s="47"/>
      <c r="F56" s="47"/>
      <c r="G56" s="47"/>
      <c r="H56" s="47"/>
      <c r="I56" s="47"/>
      <c r="J56" s="47"/>
      <c r="K56" s="47"/>
      <c r="L56" s="47"/>
    </row>
    <row r="57" spans="2:12" s="115" customFormat="1" ht="15.75" customHeight="1">
      <c r="B57" s="143" t="s">
        <v>70</v>
      </c>
      <c r="C57" s="213"/>
      <c r="E57" s="47"/>
      <c r="F57" s="106"/>
      <c r="G57" s="106"/>
      <c r="H57" s="106"/>
      <c r="I57" s="106"/>
      <c r="J57" s="106"/>
      <c r="K57" s="106"/>
      <c r="L57" s="106"/>
    </row>
    <row r="58" spans="2:5" s="115" customFormat="1" ht="15.75" customHeight="1">
      <c r="B58" s="149"/>
      <c r="C58" s="218"/>
      <c r="D58" s="219"/>
      <c r="E58" s="47"/>
    </row>
    <row r="59" spans="2:5" s="115" customFormat="1" ht="15.75" customHeight="1">
      <c r="B59" s="149" t="s">
        <v>173</v>
      </c>
      <c r="C59" s="218"/>
      <c r="D59" s="219"/>
      <c r="E59" s="47"/>
    </row>
    <row r="60" spans="2:5" s="115" customFormat="1" ht="15.75" customHeight="1">
      <c r="B60" s="220" t="s">
        <v>175</v>
      </c>
      <c r="C60" s="218"/>
      <c r="D60" s="219"/>
      <c r="E60" s="47"/>
    </row>
    <row r="61" spans="2:12" s="47" customFormat="1" ht="15.75" customHeight="1">
      <c r="B61" s="220" t="s">
        <v>220</v>
      </c>
      <c r="C61" s="218"/>
      <c r="D61" s="219"/>
      <c r="F61" s="115"/>
      <c r="G61" s="115"/>
      <c r="H61" s="115"/>
      <c r="I61" s="115"/>
      <c r="J61" s="115"/>
      <c r="K61" s="115"/>
      <c r="L61" s="115"/>
    </row>
    <row r="62" spans="2:12" s="47" customFormat="1" ht="15.75" customHeight="1">
      <c r="B62" s="220" t="s">
        <v>201</v>
      </c>
      <c r="C62" s="218"/>
      <c r="D62" s="219"/>
      <c r="F62" s="115"/>
      <c r="G62" s="115"/>
      <c r="H62" s="115"/>
      <c r="I62" s="115"/>
      <c r="J62" s="115"/>
      <c r="K62" s="115"/>
      <c r="L62" s="115"/>
    </row>
    <row r="63" spans="2:4" s="47" customFormat="1" ht="15.75" customHeight="1">
      <c r="B63" s="149" t="s">
        <v>202</v>
      </c>
      <c r="C63" s="218"/>
      <c r="D63" s="215"/>
    </row>
    <row r="64" spans="2:12" s="115" customFormat="1" ht="15.75" customHeight="1">
      <c r="B64" s="149" t="s">
        <v>203</v>
      </c>
      <c r="C64" s="218"/>
      <c r="D64" s="215"/>
      <c r="E64" s="47"/>
      <c r="F64" s="47"/>
      <c r="G64" s="47"/>
      <c r="H64" s="47"/>
      <c r="I64" s="47"/>
      <c r="J64" s="47"/>
      <c r="K64" s="47"/>
      <c r="L64" s="47"/>
    </row>
    <row r="65" spans="2:4" s="47" customFormat="1" ht="15.75" customHeight="1">
      <c r="B65" s="220" t="s">
        <v>204</v>
      </c>
      <c r="C65" s="218"/>
      <c r="D65" s="215"/>
    </row>
    <row r="66" spans="2:5" s="115" customFormat="1" ht="15.75" customHeight="1">
      <c r="B66" s="149" t="s">
        <v>205</v>
      </c>
      <c r="C66" s="218"/>
      <c r="D66" s="219"/>
      <c r="E66" s="47"/>
    </row>
    <row r="67" spans="2:12" s="106" customFormat="1" ht="15.75" customHeight="1">
      <c r="B67" s="220" t="s">
        <v>221</v>
      </c>
      <c r="C67" s="218"/>
      <c r="D67" s="215"/>
      <c r="E67" s="47"/>
      <c r="F67" s="47"/>
      <c r="G67" s="47"/>
      <c r="H67" s="47"/>
      <c r="I67" s="47"/>
      <c r="J67" s="47"/>
      <c r="K67" s="47"/>
      <c r="L67" s="47"/>
    </row>
    <row r="68" spans="2:12" s="47" customFormat="1" ht="15.75" customHeight="1">
      <c r="B68" s="149" t="s">
        <v>222</v>
      </c>
      <c r="C68" s="218"/>
      <c r="D68" s="219"/>
      <c r="F68" s="115"/>
      <c r="G68" s="115"/>
      <c r="H68" s="115"/>
      <c r="I68" s="115"/>
      <c r="J68" s="115"/>
      <c r="K68" s="115"/>
      <c r="L68" s="115"/>
    </row>
    <row r="69" spans="2:4" s="47" customFormat="1" ht="15.75" customHeight="1">
      <c r="B69" s="149" t="s">
        <v>223</v>
      </c>
      <c r="C69" s="218"/>
      <c r="D69" s="215"/>
    </row>
    <row r="70" spans="2:4" s="47" customFormat="1" ht="15.75" customHeight="1">
      <c r="B70" s="149" t="s">
        <v>224</v>
      </c>
      <c r="C70" s="218"/>
      <c r="D70" s="215"/>
    </row>
    <row r="71" spans="2:12" ht="12.75" customHeight="1">
      <c r="B71" s="217" t="s">
        <v>188</v>
      </c>
      <c r="C71" s="218"/>
      <c r="D71" s="115"/>
      <c r="E71" s="47"/>
      <c r="F71" s="47"/>
      <c r="G71" s="47"/>
      <c r="H71" s="47"/>
      <c r="I71" s="47"/>
      <c r="J71" s="47"/>
      <c r="K71" s="47"/>
      <c r="L71" s="47"/>
    </row>
    <row r="72" spans="2:12" ht="14.25" customHeight="1">
      <c r="B72" s="152" t="s">
        <v>225</v>
      </c>
      <c r="C72" s="226"/>
      <c r="D72" s="47"/>
      <c r="E72" s="47"/>
      <c r="F72" s="47"/>
      <c r="G72" s="47"/>
      <c r="H72" s="47"/>
      <c r="I72" s="47"/>
      <c r="J72" s="47"/>
      <c r="K72" s="47"/>
      <c r="L72" s="47"/>
    </row>
    <row r="73" spans="2:3" ht="15.75" customHeight="1">
      <c r="B73" s="47"/>
      <c r="C73" s="47"/>
    </row>
  </sheetData>
  <mergeCells count="8">
    <mergeCell ref="B2:C2"/>
    <mergeCell ref="B3:C3"/>
    <mergeCell ref="B4:C4"/>
    <mergeCell ref="B9:C9"/>
    <mergeCell ref="B15:C15"/>
    <mergeCell ref="B17:C17"/>
    <mergeCell ref="B23:B24"/>
    <mergeCell ref="C23:C24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5" max="255" man="1"/>
  </rowBreaks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7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5.7109375" style="1" customWidth="1"/>
    <col min="2" max="2" width="94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3" t="s">
        <v>0</v>
      </c>
      <c r="C2" s="3"/>
    </row>
    <row r="3" spans="2:3" ht="15.75" customHeight="1">
      <c r="B3" s="5" t="s">
        <v>4</v>
      </c>
      <c r="C3" s="5"/>
    </row>
    <row r="4" spans="2:3" ht="15.75" customHeight="1">
      <c r="B4" s="5" t="s">
        <v>97</v>
      </c>
      <c r="C4" s="5"/>
    </row>
    <row r="5" spans="2:3" ht="15.75" customHeight="1">
      <c r="B5" s="7" t="s">
        <v>226</v>
      </c>
      <c r="C5" s="232">
        <v>752.95</v>
      </c>
    </row>
    <row r="6" spans="2:3" ht="15.75" customHeight="1">
      <c r="B6" s="7" t="s">
        <v>105</v>
      </c>
      <c r="C6" s="17">
        <v>0</v>
      </c>
    </row>
    <row r="7" spans="2:3" ht="15.75" customHeight="1">
      <c r="B7" s="7" t="s">
        <v>208</v>
      </c>
      <c r="C7" s="17">
        <v>0</v>
      </c>
    </row>
    <row r="8" spans="2:3" ht="15.75" customHeight="1">
      <c r="B8" s="22" t="s">
        <v>191</v>
      </c>
      <c r="C8" s="25">
        <v>12</v>
      </c>
    </row>
    <row r="9" spans="2:3" ht="15.75" customHeight="1">
      <c r="B9" s="135" t="s">
        <v>14</v>
      </c>
      <c r="C9" s="135"/>
    </row>
    <row r="10" spans="2:3" ht="15.75" customHeight="1">
      <c r="B10" s="139" t="s">
        <v>192</v>
      </c>
      <c r="C10" s="140">
        <v>20</v>
      </c>
    </row>
    <row r="11" spans="2:3" ht="15.75" customHeight="1">
      <c r="B11" s="141" t="s">
        <v>193</v>
      </c>
      <c r="C11" s="142">
        <v>6.5</v>
      </c>
    </row>
    <row r="12" spans="2:3" ht="15.75" customHeight="1">
      <c r="B12" s="7" t="s">
        <v>194</v>
      </c>
      <c r="C12" s="31">
        <v>5.3</v>
      </c>
    </row>
    <row r="13" spans="2:3" ht="15.75" customHeight="1">
      <c r="B13" s="7" t="s">
        <v>195</v>
      </c>
      <c r="C13" s="31">
        <v>0</v>
      </c>
    </row>
    <row r="14" spans="2:3" ht="15.75" customHeight="1">
      <c r="B14" s="22" t="s">
        <v>196</v>
      </c>
      <c r="C14" s="36">
        <v>0</v>
      </c>
    </row>
    <row r="15" spans="2:3" ht="15.75" customHeight="1">
      <c r="B15" s="41" t="s">
        <v>24</v>
      </c>
      <c r="C15" s="41"/>
    </row>
    <row r="16" spans="2:3" ht="15.75" customHeight="1">
      <c r="B16" s="42" t="s">
        <v>227</v>
      </c>
      <c r="C16" s="157">
        <v>5</v>
      </c>
    </row>
    <row r="17" spans="2:3" ht="15.75" customHeight="1">
      <c r="B17" s="158"/>
      <c r="C17" s="159"/>
    </row>
    <row r="18" s="47" customFormat="1" ht="15.75" customHeight="1">
      <c r="B18" s="233" t="s">
        <v>131</v>
      </c>
    </row>
    <row r="19" spans="2:3" s="47" customFormat="1" ht="15.75" customHeight="1">
      <c r="B19" s="48" t="s">
        <v>228</v>
      </c>
      <c r="C19" s="50" t="s">
        <v>28</v>
      </c>
    </row>
    <row r="20" spans="2:3" s="47" customFormat="1" ht="15.75" customHeight="1">
      <c r="B20" s="169"/>
      <c r="C20" s="52"/>
    </row>
    <row r="21" spans="2:3" s="47" customFormat="1" ht="15.75" customHeight="1">
      <c r="B21" s="53" t="s">
        <v>30</v>
      </c>
      <c r="C21" s="53" t="s">
        <v>135</v>
      </c>
    </row>
    <row r="22" spans="2:3" s="47" customFormat="1" ht="15.75" customHeight="1">
      <c r="B22" s="53"/>
      <c r="C22" s="53"/>
    </row>
    <row r="23" spans="2:3" s="47" customFormat="1" ht="15.75" customHeight="1">
      <c r="B23" s="78" t="s">
        <v>138</v>
      </c>
      <c r="C23" s="87"/>
    </row>
    <row r="24" spans="2:3" s="57" customFormat="1" ht="15.75" customHeight="1">
      <c r="B24" s="177" t="s">
        <v>229</v>
      </c>
      <c r="C24" s="79">
        <f>C5</f>
        <v>752.95</v>
      </c>
    </row>
    <row r="25" spans="2:3" s="57" customFormat="1" ht="15.75" customHeight="1">
      <c r="B25" s="177" t="s">
        <v>140</v>
      </c>
      <c r="C25" s="79">
        <f>C5*C6%</f>
        <v>0</v>
      </c>
    </row>
    <row r="26" spans="2:3" s="57" customFormat="1" ht="15.75" customHeight="1">
      <c r="B26" s="60" t="s">
        <v>142</v>
      </c>
      <c r="C26" s="61">
        <f>+C5*C7%</f>
        <v>0</v>
      </c>
    </row>
    <row r="27" spans="2:3" s="47" customFormat="1" ht="15.75" customHeight="1">
      <c r="B27" s="72" t="s">
        <v>144</v>
      </c>
      <c r="C27" s="80">
        <f>SUM(C24:C26)*0.7211</f>
        <v>542.9522450000001</v>
      </c>
    </row>
    <row r="28" spans="2:3" s="47" customFormat="1" ht="15.75" customHeight="1">
      <c r="B28" s="74" t="s">
        <v>214</v>
      </c>
      <c r="C28" s="230">
        <f>C8</f>
        <v>12</v>
      </c>
    </row>
    <row r="29" spans="2:3" s="47" customFormat="1" ht="15.75" customHeight="1">
      <c r="B29" s="76" t="s">
        <v>43</v>
      </c>
      <c r="C29" s="178">
        <f>SUM(C24:C27)</f>
        <v>1295.9022450000002</v>
      </c>
    </row>
    <row r="30" spans="2:3" s="47" customFormat="1" ht="15.75" customHeight="1">
      <c r="B30" s="78" t="s">
        <v>44</v>
      </c>
      <c r="C30" s="179"/>
    </row>
    <row r="31" spans="2:3" s="47" customFormat="1" ht="15.75" customHeight="1">
      <c r="B31" s="60" t="s">
        <v>45</v>
      </c>
      <c r="C31" s="79">
        <f>C10</f>
        <v>20</v>
      </c>
    </row>
    <row r="32" spans="2:3" s="47" customFormat="1" ht="15.75" customHeight="1">
      <c r="B32" s="72" t="s">
        <v>46</v>
      </c>
      <c r="C32" s="80">
        <f>($C$11*22)-(C24*0.06)</f>
        <v>97.82300000000001</v>
      </c>
    </row>
    <row r="33" spans="2:3" s="47" customFormat="1" ht="15.75" customHeight="1">
      <c r="B33" s="72" t="s">
        <v>47</v>
      </c>
      <c r="C33" s="182">
        <f>$C$12*22</f>
        <v>116.6</v>
      </c>
    </row>
    <row r="34" spans="2:3" s="47" customFormat="1" ht="15.75" customHeight="1">
      <c r="B34" s="72" t="s">
        <v>48</v>
      </c>
      <c r="C34" s="80">
        <f>+C13</f>
        <v>0</v>
      </c>
    </row>
    <row r="35" spans="2:4" s="47" customFormat="1" ht="15.75" customHeight="1">
      <c r="B35" s="74" t="s">
        <v>152</v>
      </c>
      <c r="C35" s="80">
        <f>C14</f>
        <v>0</v>
      </c>
      <c r="D35" s="184"/>
    </row>
    <row r="36" spans="2:4" s="47" customFormat="1" ht="15.75" customHeight="1">
      <c r="B36" s="76" t="s">
        <v>52</v>
      </c>
      <c r="C36" s="86">
        <f>SUM(C31:C35)</f>
        <v>234.423</v>
      </c>
      <c r="D36" s="184"/>
    </row>
    <row r="37" spans="1:12" s="67" customFormat="1" ht="15.75" customHeight="1">
      <c r="A37" s="47"/>
      <c r="B37" s="54" t="s">
        <v>56</v>
      </c>
      <c r="C37" s="55"/>
      <c r="D37" s="184"/>
      <c r="E37" s="47"/>
      <c r="F37" s="47"/>
      <c r="G37" s="47"/>
      <c r="H37" s="47"/>
      <c r="I37" s="47"/>
      <c r="J37" s="47"/>
      <c r="K37" s="47"/>
      <c r="L37" s="47"/>
    </row>
    <row r="38" spans="2:13" s="67" customFormat="1" ht="15.75" customHeight="1">
      <c r="B38" s="72" t="s">
        <v>230</v>
      </c>
      <c r="C38" s="195">
        <f>(SUM($C$29+$C$36))*0.0531</f>
        <v>81.26027050950002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2:13" s="47" customFormat="1" ht="15.75" customHeight="1">
      <c r="B39" s="74" t="s">
        <v>158</v>
      </c>
      <c r="C39" s="195">
        <f>(SUM($C$29+$C$36+$C38))*0.072</f>
        <v>116.03415711668403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2:13" s="47" customFormat="1" ht="15.75" customHeight="1">
      <c r="B40" s="76" t="s">
        <v>59</v>
      </c>
      <c r="C40" s="86">
        <f>SUM(C38:C39)</f>
        <v>197.29442762618405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2:3" s="47" customFormat="1" ht="15.75" customHeight="1">
      <c r="B41" s="197" t="s">
        <v>160</v>
      </c>
      <c r="C41" s="198"/>
    </row>
    <row r="42" spans="2:3" s="47" customFormat="1" ht="15.75" customHeight="1">
      <c r="B42" s="60" t="s">
        <v>164</v>
      </c>
      <c r="C42" s="79">
        <f>C48*0.0065</f>
        <v>12.292860286885823</v>
      </c>
    </row>
    <row r="43" spans="2:4" s="47" customFormat="1" ht="15.75" customHeight="1">
      <c r="B43" s="72" t="s">
        <v>62</v>
      </c>
      <c r="C43" s="80">
        <f>C48*0.03</f>
        <v>56.73627824716532</v>
      </c>
      <c r="D43" s="201" t="s">
        <v>63</v>
      </c>
    </row>
    <row r="44" spans="2:4" s="47" customFormat="1" ht="15.75" customHeight="1">
      <c r="B44" s="90" t="str">
        <f>(D43&amp;C16&amp;D44)</f>
        <v>ISSQN - 5 %</v>
      </c>
      <c r="C44" s="80">
        <f>$C$16%*C48</f>
        <v>94.56046374527556</v>
      </c>
      <c r="D44" s="201" t="s">
        <v>165</v>
      </c>
    </row>
    <row r="45" spans="2:5" s="47" customFormat="1" ht="15.75" customHeight="1">
      <c r="B45" s="76" t="s">
        <v>65</v>
      </c>
      <c r="C45" s="86">
        <f>SUM(C42:C44)</f>
        <v>163.5896022793267</v>
      </c>
      <c r="D45" s="57"/>
      <c r="E45" s="57"/>
    </row>
    <row r="46" spans="2:5" s="47" customFormat="1" ht="15.75" customHeight="1">
      <c r="B46" s="91" t="s">
        <v>66</v>
      </c>
      <c r="C46" s="92">
        <f>SUM(C36,C40,C45)</f>
        <v>595.3070299055107</v>
      </c>
      <c r="E46" s="57"/>
    </row>
    <row r="47" spans="2:3" s="47" customFormat="1" ht="15.75" customHeight="1">
      <c r="B47" s="208"/>
      <c r="C47" s="234"/>
    </row>
    <row r="48" spans="2:5" s="47" customFormat="1" ht="15.75" customHeight="1">
      <c r="B48" s="96" t="s">
        <v>166</v>
      </c>
      <c r="C48" s="209">
        <f>SUM(C29,C36,C40)/((100-(3.65+$C$16))/100)</f>
        <v>1891.209274905511</v>
      </c>
      <c r="E48" s="57"/>
    </row>
    <row r="49" spans="2:3" s="47" customFormat="1" ht="15.75" customHeight="1">
      <c r="B49" s="76" t="s">
        <v>219</v>
      </c>
      <c r="C49" s="231">
        <f>(C48*C28)</f>
        <v>22694.51129886613</v>
      </c>
    </row>
    <row r="50" spans="2:12" s="106" customFormat="1" ht="15.75" customHeight="1">
      <c r="B50" s="99" t="s">
        <v>69</v>
      </c>
      <c r="C50" s="100">
        <f>C48/(SUM(C24:C26))</f>
        <v>2.511732883864149</v>
      </c>
      <c r="D50" s="47"/>
      <c r="E50" s="47"/>
      <c r="F50" s="47"/>
      <c r="G50" s="47"/>
      <c r="H50" s="47"/>
      <c r="I50" s="47"/>
      <c r="J50" s="47"/>
      <c r="K50" s="47"/>
      <c r="L50" s="47"/>
    </row>
    <row r="51" spans="2:12" s="115" customFormat="1" ht="15.75" customHeight="1">
      <c r="B51" s="102"/>
      <c r="C51" s="102"/>
      <c r="D51" s="47"/>
      <c r="E51" s="47"/>
      <c r="F51" s="47"/>
      <c r="G51" s="47"/>
      <c r="H51" s="47"/>
      <c r="I51" s="47"/>
      <c r="J51" s="47"/>
      <c r="K51" s="47"/>
      <c r="L51" s="47"/>
    </row>
    <row r="52" spans="2:12" s="115" customFormat="1" ht="15.75" customHeight="1">
      <c r="B52" s="143" t="s">
        <v>70</v>
      </c>
      <c r="C52" s="213"/>
      <c r="E52" s="47"/>
      <c r="F52" s="106"/>
      <c r="G52" s="106"/>
      <c r="H52" s="106"/>
      <c r="I52" s="106"/>
      <c r="J52" s="106"/>
      <c r="K52" s="106"/>
      <c r="L52" s="106"/>
    </row>
    <row r="53" spans="2:5" s="115" customFormat="1" ht="15.75" customHeight="1">
      <c r="B53" s="149"/>
      <c r="C53" s="218"/>
      <c r="D53" s="219"/>
      <c r="E53" s="47"/>
    </row>
    <row r="54" spans="2:5" s="115" customFormat="1" ht="15.75" customHeight="1">
      <c r="B54" s="149" t="s">
        <v>173</v>
      </c>
      <c r="C54" s="218"/>
      <c r="D54" s="219"/>
      <c r="E54" s="47"/>
    </row>
    <row r="55" spans="2:5" s="115" customFormat="1" ht="15.75" customHeight="1">
      <c r="B55" s="220" t="s">
        <v>175</v>
      </c>
      <c r="C55" s="218"/>
      <c r="D55" s="219"/>
      <c r="E55" s="47"/>
    </row>
    <row r="56" spans="2:12" s="47" customFormat="1" ht="15.75" customHeight="1">
      <c r="B56" s="220" t="s">
        <v>220</v>
      </c>
      <c r="C56" s="218"/>
      <c r="D56" s="219"/>
      <c r="F56" s="115"/>
      <c r="G56" s="115"/>
      <c r="H56" s="115"/>
      <c r="I56" s="115"/>
      <c r="J56" s="115"/>
      <c r="K56" s="115"/>
      <c r="L56" s="115"/>
    </row>
    <row r="57" spans="2:12" s="47" customFormat="1" ht="15.75" customHeight="1">
      <c r="B57" s="220" t="s">
        <v>201</v>
      </c>
      <c r="C57" s="218"/>
      <c r="D57" s="219"/>
      <c r="F57" s="115"/>
      <c r="G57" s="115"/>
      <c r="H57" s="115"/>
      <c r="I57" s="115"/>
      <c r="J57" s="115"/>
      <c r="K57" s="115"/>
      <c r="L57" s="115"/>
    </row>
    <row r="58" spans="2:4" s="47" customFormat="1" ht="15.75" customHeight="1">
      <c r="B58" s="149" t="s">
        <v>202</v>
      </c>
      <c r="C58" s="218"/>
      <c r="D58" s="215"/>
    </row>
    <row r="59" spans="2:12" s="115" customFormat="1" ht="15.75" customHeight="1">
      <c r="B59" s="149" t="s">
        <v>203</v>
      </c>
      <c r="C59" s="218"/>
      <c r="D59" s="215"/>
      <c r="E59" s="47"/>
      <c r="F59" s="47"/>
      <c r="G59" s="47"/>
      <c r="H59" s="47"/>
      <c r="I59" s="47"/>
      <c r="J59" s="47"/>
      <c r="K59" s="47"/>
      <c r="L59" s="47"/>
    </row>
    <row r="60" spans="2:4" s="47" customFormat="1" ht="15.75" customHeight="1">
      <c r="B60" s="220" t="s">
        <v>204</v>
      </c>
      <c r="C60" s="218"/>
      <c r="D60" s="215"/>
    </row>
    <row r="61" spans="2:5" s="115" customFormat="1" ht="15.75" customHeight="1">
      <c r="B61" s="149" t="s">
        <v>205</v>
      </c>
      <c r="C61" s="218"/>
      <c r="D61" s="219"/>
      <c r="E61" s="47"/>
    </row>
    <row r="62" spans="2:12" s="47" customFormat="1" ht="15.75" customHeight="1">
      <c r="B62" s="149" t="s">
        <v>185</v>
      </c>
      <c r="C62" s="218"/>
      <c r="D62" s="219"/>
      <c r="F62" s="115"/>
      <c r="G62" s="115"/>
      <c r="H62" s="115"/>
      <c r="I62" s="115"/>
      <c r="J62" s="115"/>
      <c r="K62" s="115"/>
      <c r="L62" s="115"/>
    </row>
    <row r="63" spans="2:4" s="47" customFormat="1" ht="15.75" customHeight="1">
      <c r="B63" s="149" t="s">
        <v>186</v>
      </c>
      <c r="C63" s="218"/>
      <c r="D63" s="215"/>
    </row>
    <row r="64" spans="2:4" s="47" customFormat="1" ht="15.75" customHeight="1">
      <c r="B64" s="149" t="s">
        <v>187</v>
      </c>
      <c r="C64" s="218"/>
      <c r="D64" s="215"/>
    </row>
    <row r="65" spans="2:12" ht="15.75" customHeight="1">
      <c r="B65" s="217" t="s">
        <v>188</v>
      </c>
      <c r="C65" s="218"/>
      <c r="D65" s="115"/>
      <c r="E65" s="47"/>
      <c r="F65" s="47"/>
      <c r="G65" s="47"/>
      <c r="H65" s="47"/>
      <c r="I65" s="47"/>
      <c r="J65" s="47"/>
      <c r="K65" s="47"/>
      <c r="L65" s="47"/>
    </row>
    <row r="66" spans="2:12" ht="15.75" customHeight="1">
      <c r="B66" s="152" t="s">
        <v>225</v>
      </c>
      <c r="C66" s="226"/>
      <c r="D66" s="47"/>
      <c r="E66" s="47"/>
      <c r="F66" s="47"/>
      <c r="G66" s="47"/>
      <c r="H66" s="47"/>
      <c r="I66" s="47"/>
      <c r="J66" s="47"/>
      <c r="K66" s="47"/>
      <c r="L66" s="47"/>
    </row>
    <row r="67" spans="2:3" ht="15.75" customHeight="1">
      <c r="B67" s="47"/>
      <c r="C67" s="47"/>
    </row>
  </sheetData>
  <sheetProtection sheet="1" objects="1" scenarios="1"/>
  <mergeCells count="7">
    <mergeCell ref="B2:C2"/>
    <mergeCell ref="B3:C3"/>
    <mergeCell ref="B4:C4"/>
    <mergeCell ref="B9:C9"/>
    <mergeCell ref="B15:C15"/>
    <mergeCell ref="B21:B22"/>
    <mergeCell ref="C21:C22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0" max="255" man="1"/>
  </rowBreaks>
  <colBreaks count="1" manualBreakCount="1">
    <brk id="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7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5.7109375" style="1" customWidth="1"/>
    <col min="2" max="2" width="95.14062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3" t="s">
        <v>0</v>
      </c>
      <c r="C2" s="3"/>
    </row>
    <row r="3" spans="2:3" ht="15.75" customHeight="1">
      <c r="B3" s="5" t="s">
        <v>4</v>
      </c>
      <c r="C3" s="5"/>
    </row>
    <row r="4" spans="2:3" ht="15.75" customHeight="1">
      <c r="B4" s="5" t="s">
        <v>97</v>
      </c>
      <c r="C4" s="5"/>
    </row>
    <row r="5" spans="2:3" ht="15.75" customHeight="1">
      <c r="B5" s="7" t="s">
        <v>231</v>
      </c>
      <c r="C5" s="126">
        <v>752.95</v>
      </c>
    </row>
    <row r="6" spans="2:3" ht="15.75" customHeight="1">
      <c r="B6" s="7" t="s">
        <v>207</v>
      </c>
      <c r="C6" s="17">
        <v>0</v>
      </c>
    </row>
    <row r="7" spans="2:3" ht="15.75" customHeight="1">
      <c r="B7" s="7" t="s">
        <v>208</v>
      </c>
      <c r="C7" s="17">
        <v>0</v>
      </c>
    </row>
    <row r="8" spans="2:3" ht="15.75" customHeight="1">
      <c r="B8" s="22" t="s">
        <v>191</v>
      </c>
      <c r="C8" s="25">
        <v>12</v>
      </c>
    </row>
    <row r="9" spans="2:3" ht="15.75" customHeight="1">
      <c r="B9" s="135" t="s">
        <v>14</v>
      </c>
      <c r="C9" s="135"/>
    </row>
    <row r="10" spans="2:3" ht="15.75" customHeight="1">
      <c r="B10" s="139" t="s">
        <v>192</v>
      </c>
      <c r="C10" s="140">
        <v>20</v>
      </c>
    </row>
    <row r="11" spans="2:3" ht="15.75" customHeight="1">
      <c r="B11" s="141" t="s">
        <v>193</v>
      </c>
      <c r="C11" s="142">
        <v>6.5</v>
      </c>
    </row>
    <row r="12" spans="2:3" ht="15.75" customHeight="1">
      <c r="B12" s="7" t="s">
        <v>194</v>
      </c>
      <c r="C12" s="31">
        <v>5.3</v>
      </c>
    </row>
    <row r="13" spans="2:3" ht="15.75" customHeight="1">
      <c r="B13" s="7" t="s">
        <v>195</v>
      </c>
      <c r="C13" s="31">
        <v>0</v>
      </c>
    </row>
    <row r="14" spans="2:3" ht="15.75" customHeight="1">
      <c r="B14" s="22" t="s">
        <v>196</v>
      </c>
      <c r="C14" s="36">
        <v>0</v>
      </c>
    </row>
    <row r="15" spans="2:3" ht="15.75" customHeight="1">
      <c r="B15" s="41" t="s">
        <v>24</v>
      </c>
      <c r="C15" s="41"/>
    </row>
    <row r="16" spans="2:3" ht="15.75" customHeight="1">
      <c r="B16" s="42" t="s">
        <v>227</v>
      </c>
      <c r="C16" s="157">
        <v>5</v>
      </c>
    </row>
    <row r="17" spans="2:3" ht="15.75" customHeight="1">
      <c r="B17" s="158"/>
      <c r="C17" s="159"/>
    </row>
    <row r="18" s="47" customFormat="1" ht="15.75" customHeight="1">
      <c r="B18" s="48" t="s">
        <v>131</v>
      </c>
    </row>
    <row r="19" spans="2:3" s="47" customFormat="1" ht="15.75" customHeight="1">
      <c r="B19" s="48" t="s">
        <v>232</v>
      </c>
      <c r="C19" s="50" t="s">
        <v>28</v>
      </c>
    </row>
    <row r="20" spans="2:3" s="47" customFormat="1" ht="15.75" customHeight="1">
      <c r="B20" s="169"/>
      <c r="C20" s="52"/>
    </row>
    <row r="21" spans="2:3" s="47" customFormat="1" ht="15.75" customHeight="1">
      <c r="B21" s="53" t="s">
        <v>30</v>
      </c>
      <c r="C21" s="53" t="s">
        <v>135</v>
      </c>
    </row>
    <row r="22" spans="2:3" s="47" customFormat="1" ht="15.75" customHeight="1">
      <c r="B22" s="53"/>
      <c r="C22" s="53"/>
    </row>
    <row r="23" spans="2:3" s="47" customFormat="1" ht="15.75" customHeight="1">
      <c r="B23" s="78" t="s">
        <v>138</v>
      </c>
      <c r="C23" s="87"/>
    </row>
    <row r="24" spans="2:3" s="57" customFormat="1" ht="15.75" customHeight="1">
      <c r="B24" s="177" t="s">
        <v>139</v>
      </c>
      <c r="C24" s="79">
        <f>C5</f>
        <v>752.95</v>
      </c>
    </row>
    <row r="25" spans="2:3" s="57" customFormat="1" ht="15.75" customHeight="1">
      <c r="B25" s="177" t="s">
        <v>140</v>
      </c>
      <c r="C25" s="79">
        <f>C5*C6%</f>
        <v>0</v>
      </c>
    </row>
    <row r="26" spans="2:3" s="57" customFormat="1" ht="15.75" customHeight="1">
      <c r="B26" s="60" t="s">
        <v>142</v>
      </c>
      <c r="C26" s="61">
        <f>+C5*C7%</f>
        <v>0</v>
      </c>
    </row>
    <row r="27" spans="2:3" s="47" customFormat="1" ht="15.75" customHeight="1">
      <c r="B27" s="72" t="s">
        <v>144</v>
      </c>
      <c r="C27" s="80">
        <f>SUM(C24:C26)*0.7211</f>
        <v>542.9522450000001</v>
      </c>
    </row>
    <row r="28" spans="2:3" s="47" customFormat="1" ht="15.75" customHeight="1">
      <c r="B28" s="74" t="s">
        <v>214</v>
      </c>
      <c r="C28" s="230">
        <f>C8</f>
        <v>12</v>
      </c>
    </row>
    <row r="29" spans="2:3" s="47" customFormat="1" ht="15.75" customHeight="1">
      <c r="B29" s="76" t="s">
        <v>43</v>
      </c>
      <c r="C29" s="178">
        <f>SUM(C24:C27)</f>
        <v>1295.9022450000002</v>
      </c>
    </row>
    <row r="30" spans="2:3" s="47" customFormat="1" ht="15.75" customHeight="1">
      <c r="B30" s="78" t="s">
        <v>44</v>
      </c>
      <c r="C30" s="179"/>
    </row>
    <row r="31" spans="2:3" s="47" customFormat="1" ht="15.75" customHeight="1">
      <c r="B31" s="60" t="s">
        <v>45</v>
      </c>
      <c r="C31" s="79">
        <f>C10</f>
        <v>20</v>
      </c>
    </row>
    <row r="32" spans="2:3" s="47" customFormat="1" ht="15.75" customHeight="1">
      <c r="B32" s="72" t="s">
        <v>46</v>
      </c>
      <c r="C32" s="80">
        <f>($C$11*22)-(C24*0.06)</f>
        <v>97.82300000000001</v>
      </c>
    </row>
    <row r="33" spans="2:3" s="47" customFormat="1" ht="15.75" customHeight="1">
      <c r="B33" s="72" t="s">
        <v>47</v>
      </c>
      <c r="C33" s="182">
        <f>$C$12*22</f>
        <v>116.6</v>
      </c>
    </row>
    <row r="34" spans="2:3" s="47" customFormat="1" ht="15.75" customHeight="1">
      <c r="B34" s="72" t="s">
        <v>48</v>
      </c>
      <c r="C34" s="80">
        <f>+C13</f>
        <v>0</v>
      </c>
    </row>
    <row r="35" spans="2:4" s="47" customFormat="1" ht="15.75" customHeight="1">
      <c r="B35" s="74" t="s">
        <v>152</v>
      </c>
      <c r="C35" s="80">
        <f>C14</f>
        <v>0</v>
      </c>
      <c r="D35" s="184"/>
    </row>
    <row r="36" spans="2:4" s="47" customFormat="1" ht="15.75" customHeight="1">
      <c r="B36" s="76" t="s">
        <v>52</v>
      </c>
      <c r="C36" s="86">
        <f>SUM(C31:C35)</f>
        <v>234.423</v>
      </c>
      <c r="D36" s="184"/>
    </row>
    <row r="37" spans="1:12" s="67" customFormat="1" ht="15.75" customHeight="1">
      <c r="A37" s="47"/>
      <c r="B37" s="54" t="s">
        <v>56</v>
      </c>
      <c r="C37" s="55"/>
      <c r="D37" s="184"/>
      <c r="E37" s="47"/>
      <c r="F37" s="47"/>
      <c r="G37" s="47"/>
      <c r="H37" s="47"/>
      <c r="I37" s="47"/>
      <c r="J37" s="47"/>
      <c r="K37" s="47"/>
      <c r="L37" s="47"/>
    </row>
    <row r="38" spans="1:14" s="67" customFormat="1" ht="15.75" customHeight="1">
      <c r="A38" s="47"/>
      <c r="B38" s="72" t="s">
        <v>233</v>
      </c>
      <c r="C38" s="195">
        <f>(SUM($C$29+$C$36))*0.0531</f>
        <v>81.26027050950002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2:14" s="47" customFormat="1" ht="15.75" customHeight="1">
      <c r="B39" s="74" t="s">
        <v>158</v>
      </c>
      <c r="C39" s="195">
        <f>(SUM($C$29+$C$36+$C38))*0.072</f>
        <v>116.03415711668403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2:14" s="47" customFormat="1" ht="15.75" customHeight="1">
      <c r="B40" s="76" t="s">
        <v>59</v>
      </c>
      <c r="C40" s="86">
        <f>SUM(C38:C39)</f>
        <v>197.29442762618405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2:3" s="47" customFormat="1" ht="15.75" customHeight="1">
      <c r="B41" s="197" t="s">
        <v>160</v>
      </c>
      <c r="C41" s="198"/>
    </row>
    <row r="42" spans="2:3" s="47" customFormat="1" ht="15.75" customHeight="1">
      <c r="B42" s="60" t="s">
        <v>164</v>
      </c>
      <c r="C42" s="79">
        <f>C48*0.0065</f>
        <v>12.292860286885823</v>
      </c>
    </row>
    <row r="43" spans="2:4" s="47" customFormat="1" ht="15.75" customHeight="1">
      <c r="B43" s="72" t="s">
        <v>62</v>
      </c>
      <c r="C43" s="80">
        <f>C48*0.03</f>
        <v>56.73627824716532</v>
      </c>
      <c r="D43" s="201" t="s">
        <v>63</v>
      </c>
    </row>
    <row r="44" spans="2:4" s="47" customFormat="1" ht="15.75" customHeight="1">
      <c r="B44" s="90" t="str">
        <f>(D43&amp;C16&amp;D44)</f>
        <v>ISSQN - 5 %</v>
      </c>
      <c r="C44" s="80">
        <f>$C$16%*C48</f>
        <v>94.56046374527556</v>
      </c>
      <c r="D44" s="201" t="s">
        <v>165</v>
      </c>
    </row>
    <row r="45" spans="2:5" s="47" customFormat="1" ht="15.75" customHeight="1">
      <c r="B45" s="76" t="s">
        <v>65</v>
      </c>
      <c r="C45" s="86">
        <f>SUM(C42:C44)</f>
        <v>163.5896022793267</v>
      </c>
      <c r="D45" s="57"/>
      <c r="E45" s="57"/>
    </row>
    <row r="46" spans="2:5" s="47" customFormat="1" ht="15.75" customHeight="1">
      <c r="B46" s="91" t="s">
        <v>66</v>
      </c>
      <c r="C46" s="92">
        <f>SUM(C36,C40,C45)</f>
        <v>595.3070299055107</v>
      </c>
      <c r="E46" s="57"/>
    </row>
    <row r="47" spans="2:3" s="47" customFormat="1" ht="15.75" customHeight="1">
      <c r="B47" s="208"/>
      <c r="C47" s="234"/>
    </row>
    <row r="48" spans="2:5" s="47" customFormat="1" ht="15.75" customHeight="1">
      <c r="B48" s="96" t="s">
        <v>166</v>
      </c>
      <c r="C48" s="209">
        <f>SUM(C29,C36,C40)/((100-(3.65+$C$16))/100)</f>
        <v>1891.209274905511</v>
      </c>
      <c r="E48" s="57"/>
    </row>
    <row r="49" spans="2:3" s="47" customFormat="1" ht="15.75" customHeight="1">
      <c r="B49" s="76" t="s">
        <v>219</v>
      </c>
      <c r="C49" s="231">
        <f>(C48*C28)</f>
        <v>22694.51129886613</v>
      </c>
    </row>
    <row r="50" spans="2:12" s="106" customFormat="1" ht="15.75" customHeight="1">
      <c r="B50" s="99" t="s">
        <v>69</v>
      </c>
      <c r="C50" s="100">
        <f>C48/(SUM(C24:C26))</f>
        <v>2.511732883864149</v>
      </c>
      <c r="D50" s="47"/>
      <c r="E50" s="47"/>
      <c r="F50" s="47"/>
      <c r="G50" s="47"/>
      <c r="H50" s="47"/>
      <c r="I50" s="47"/>
      <c r="J50" s="47"/>
      <c r="K50" s="47"/>
      <c r="L50" s="47"/>
    </row>
    <row r="51" spans="2:12" s="115" customFormat="1" ht="15.75" customHeight="1">
      <c r="B51" s="102"/>
      <c r="C51" s="102"/>
      <c r="D51" s="47"/>
      <c r="E51" s="47"/>
      <c r="F51" s="47"/>
      <c r="G51" s="47"/>
      <c r="H51" s="47"/>
      <c r="I51" s="47"/>
      <c r="J51" s="47"/>
      <c r="K51" s="47"/>
      <c r="L51" s="47"/>
    </row>
    <row r="52" spans="2:12" s="115" customFormat="1" ht="15.75" customHeight="1">
      <c r="B52" s="143" t="s">
        <v>70</v>
      </c>
      <c r="C52" s="213"/>
      <c r="E52" s="47"/>
      <c r="F52" s="106"/>
      <c r="G52" s="106"/>
      <c r="H52" s="106"/>
      <c r="I52" s="106"/>
      <c r="J52" s="106"/>
      <c r="K52" s="106"/>
      <c r="L52" s="106"/>
    </row>
    <row r="53" spans="2:5" s="115" customFormat="1" ht="15.75" customHeight="1">
      <c r="B53" s="149"/>
      <c r="C53" s="218"/>
      <c r="D53" s="219"/>
      <c r="E53" s="47"/>
    </row>
    <row r="54" spans="2:5" s="115" customFormat="1" ht="15.75" customHeight="1">
      <c r="B54" s="149" t="s">
        <v>173</v>
      </c>
      <c r="C54" s="218"/>
      <c r="D54" s="219"/>
      <c r="E54" s="47"/>
    </row>
    <row r="55" spans="2:5" s="115" customFormat="1" ht="15.75" customHeight="1">
      <c r="B55" s="220" t="s">
        <v>175</v>
      </c>
      <c r="C55" s="218"/>
      <c r="D55" s="219"/>
      <c r="E55" s="47"/>
    </row>
    <row r="56" spans="2:12" s="47" customFormat="1" ht="15.75" customHeight="1">
      <c r="B56" s="220" t="s">
        <v>220</v>
      </c>
      <c r="C56" s="218"/>
      <c r="D56" s="219"/>
      <c r="F56" s="115"/>
      <c r="G56" s="115"/>
      <c r="H56" s="115"/>
      <c r="I56" s="115"/>
      <c r="J56" s="115"/>
      <c r="K56" s="115"/>
      <c r="L56" s="115"/>
    </row>
    <row r="57" spans="2:12" s="47" customFormat="1" ht="15.75" customHeight="1">
      <c r="B57" s="220" t="s">
        <v>201</v>
      </c>
      <c r="C57" s="218"/>
      <c r="D57" s="219"/>
      <c r="F57" s="115"/>
      <c r="G57" s="115"/>
      <c r="H57" s="115"/>
      <c r="I57" s="115"/>
      <c r="J57" s="115"/>
      <c r="K57" s="115"/>
      <c r="L57" s="115"/>
    </row>
    <row r="58" spans="2:4" s="47" customFormat="1" ht="15.75" customHeight="1">
      <c r="B58" s="149" t="s">
        <v>202</v>
      </c>
      <c r="C58" s="218"/>
      <c r="D58" s="215"/>
    </row>
    <row r="59" spans="2:12" s="115" customFormat="1" ht="15.75" customHeight="1">
      <c r="B59" s="149" t="s">
        <v>203</v>
      </c>
      <c r="C59" s="218"/>
      <c r="D59" s="215"/>
      <c r="E59" s="47"/>
      <c r="F59" s="47"/>
      <c r="G59" s="47"/>
      <c r="H59" s="47"/>
      <c r="I59" s="47"/>
      <c r="J59" s="47"/>
      <c r="K59" s="47"/>
      <c r="L59" s="47"/>
    </row>
    <row r="60" spans="2:4" s="47" customFormat="1" ht="15.75" customHeight="1">
      <c r="B60" s="220" t="s">
        <v>204</v>
      </c>
      <c r="C60" s="218"/>
      <c r="D60" s="215"/>
    </row>
    <row r="61" spans="2:5" s="115" customFormat="1" ht="15.75" customHeight="1">
      <c r="B61" s="149" t="s">
        <v>205</v>
      </c>
      <c r="C61" s="218"/>
      <c r="D61" s="219"/>
      <c r="E61" s="47"/>
    </row>
    <row r="62" spans="2:12" s="47" customFormat="1" ht="15.75" customHeight="1">
      <c r="B62" s="149" t="s">
        <v>185</v>
      </c>
      <c r="C62" s="218"/>
      <c r="D62" s="219"/>
      <c r="F62" s="115"/>
      <c r="G62" s="115"/>
      <c r="H62" s="115"/>
      <c r="I62" s="115"/>
      <c r="J62" s="115"/>
      <c r="K62" s="115"/>
      <c r="L62" s="115"/>
    </row>
    <row r="63" spans="2:4" s="47" customFormat="1" ht="15.75" customHeight="1">
      <c r="B63" s="149" t="s">
        <v>186</v>
      </c>
      <c r="C63" s="218"/>
      <c r="D63" s="215"/>
    </row>
    <row r="64" spans="2:4" s="47" customFormat="1" ht="15.75" customHeight="1">
      <c r="B64" s="149" t="s">
        <v>187</v>
      </c>
      <c r="C64" s="218"/>
      <c r="D64" s="215"/>
    </row>
    <row r="65" spans="2:12" ht="15.75" customHeight="1">
      <c r="B65" s="217" t="s">
        <v>188</v>
      </c>
      <c r="C65" s="218"/>
      <c r="D65" s="115"/>
      <c r="E65" s="47"/>
      <c r="F65" s="47"/>
      <c r="G65" s="47"/>
      <c r="H65" s="47"/>
      <c r="I65" s="47"/>
      <c r="J65" s="47"/>
      <c r="K65" s="47"/>
      <c r="L65" s="47"/>
    </row>
    <row r="66" spans="2:12" ht="15.75" customHeight="1">
      <c r="B66" s="152" t="s">
        <v>225</v>
      </c>
      <c r="C66" s="226"/>
      <c r="D66" s="47"/>
      <c r="E66" s="47"/>
      <c r="F66" s="47"/>
      <c r="G66" s="47"/>
      <c r="H66" s="47"/>
      <c r="I66" s="47"/>
      <c r="J66" s="47"/>
      <c r="K66" s="47"/>
      <c r="L66" s="47"/>
    </row>
    <row r="67" spans="2:3" ht="15.75" customHeight="1">
      <c r="B67" s="47"/>
      <c r="C67" s="47"/>
    </row>
  </sheetData>
  <sheetProtection sheet="1" objects="1" scenarios="1"/>
  <mergeCells count="7">
    <mergeCell ref="B2:C2"/>
    <mergeCell ref="B3:C3"/>
    <mergeCell ref="B4:C4"/>
    <mergeCell ref="B9:C9"/>
    <mergeCell ref="B15:C15"/>
    <mergeCell ref="B21:B22"/>
    <mergeCell ref="C21:C22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0" max="255" man="1"/>
  </rowBreaks>
  <colBreaks count="1" manualBreakCount="1">
    <brk id="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M73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5.7109375" style="1" customWidth="1"/>
    <col min="2" max="2" width="96.7109375" style="1" customWidth="1"/>
    <col min="3" max="3" width="25.7109375" style="1" customWidth="1"/>
    <col min="4" max="4" width="11.421875" style="1" customWidth="1"/>
    <col min="5" max="5" width="16.28125" style="1" customWidth="1"/>
    <col min="6" max="16384" width="11.421875" style="1" customWidth="1"/>
  </cols>
  <sheetData>
    <row r="2" spans="2:3" ht="15.75" customHeight="1">
      <c r="B2" s="3" t="s">
        <v>0</v>
      </c>
      <c r="C2" s="3"/>
    </row>
    <row r="3" spans="2:3" ht="15.75" customHeight="1">
      <c r="B3" s="5" t="s">
        <v>4</v>
      </c>
      <c r="C3" s="5"/>
    </row>
    <row r="4" spans="2:3" ht="15.75" customHeight="1">
      <c r="B4" s="5" t="s">
        <v>97</v>
      </c>
      <c r="C4" s="5"/>
    </row>
    <row r="5" spans="2:3" ht="15.75" customHeight="1">
      <c r="B5" s="7" t="s">
        <v>234</v>
      </c>
      <c r="C5" s="126">
        <v>752.95</v>
      </c>
    </row>
    <row r="6" spans="2:3" ht="15.75" customHeight="1">
      <c r="B6" s="7" t="s">
        <v>207</v>
      </c>
      <c r="C6" s="17">
        <v>0</v>
      </c>
    </row>
    <row r="7" spans="2:3" ht="15.75" customHeight="1">
      <c r="B7" s="7" t="s">
        <v>208</v>
      </c>
      <c r="C7" s="17">
        <v>0</v>
      </c>
    </row>
    <row r="8" spans="2:3" ht="15.75" customHeight="1">
      <c r="B8" s="22" t="s">
        <v>191</v>
      </c>
      <c r="C8" s="25">
        <v>12</v>
      </c>
    </row>
    <row r="9" spans="2:3" ht="15.75" customHeight="1">
      <c r="B9" s="135" t="s">
        <v>14</v>
      </c>
      <c r="C9" s="135"/>
    </row>
    <row r="10" spans="2:3" ht="15.75" customHeight="1">
      <c r="B10" s="139" t="s">
        <v>192</v>
      </c>
      <c r="C10" s="140">
        <v>20</v>
      </c>
    </row>
    <row r="11" spans="2:3" ht="15.75" customHeight="1">
      <c r="B11" s="141" t="s">
        <v>193</v>
      </c>
      <c r="C11" s="142">
        <v>6.5</v>
      </c>
    </row>
    <row r="12" spans="2:3" ht="15.75" customHeight="1">
      <c r="B12" s="7" t="s">
        <v>194</v>
      </c>
      <c r="C12" s="31">
        <v>5.3</v>
      </c>
    </row>
    <row r="13" spans="2:3" ht="15.75" customHeight="1">
      <c r="B13" s="7" t="s">
        <v>195</v>
      </c>
      <c r="C13" s="31">
        <v>0</v>
      </c>
    </row>
    <row r="14" spans="2:3" ht="15.75" customHeight="1">
      <c r="B14" s="22" t="s">
        <v>196</v>
      </c>
      <c r="C14" s="36">
        <v>0</v>
      </c>
    </row>
    <row r="15" spans="2:3" ht="15.75" customHeight="1">
      <c r="B15" s="5" t="s">
        <v>120</v>
      </c>
      <c r="C15" s="5"/>
    </row>
    <row r="16" spans="2:3" ht="15.75" customHeight="1">
      <c r="B16" s="139" t="s">
        <v>209</v>
      </c>
      <c r="C16" s="140">
        <v>0</v>
      </c>
    </row>
    <row r="17" spans="2:3" ht="15.75" customHeight="1">
      <c r="B17" s="41" t="s">
        <v>24</v>
      </c>
      <c r="C17" s="41"/>
    </row>
    <row r="18" spans="2:3" ht="15.75" customHeight="1">
      <c r="B18" s="42" t="s">
        <v>210</v>
      </c>
      <c r="C18" s="157">
        <v>5</v>
      </c>
    </row>
    <row r="19" spans="2:3" ht="15.75" customHeight="1">
      <c r="B19" s="158"/>
      <c r="C19" s="159"/>
    </row>
    <row r="20" s="47" customFormat="1" ht="15.75" customHeight="1">
      <c r="B20" s="48" t="s">
        <v>131</v>
      </c>
    </row>
    <row r="21" spans="2:3" s="47" customFormat="1" ht="15.75" customHeight="1">
      <c r="B21" s="48" t="s">
        <v>235</v>
      </c>
      <c r="C21" s="50" t="s">
        <v>28</v>
      </c>
    </row>
    <row r="22" spans="2:3" s="47" customFormat="1" ht="15.75" customHeight="1">
      <c r="B22" s="169"/>
      <c r="C22" s="52"/>
    </row>
    <row r="23" spans="2:3" s="47" customFormat="1" ht="15.75" customHeight="1">
      <c r="B23" s="53" t="s">
        <v>30</v>
      </c>
      <c r="C23" s="53" t="s">
        <v>135</v>
      </c>
    </row>
    <row r="24" spans="2:3" s="47" customFormat="1" ht="15.75" customHeight="1">
      <c r="B24" s="53"/>
      <c r="C24" s="53"/>
    </row>
    <row r="25" spans="2:3" s="47" customFormat="1" ht="15.75" customHeight="1">
      <c r="B25" s="78" t="s">
        <v>138</v>
      </c>
      <c r="C25" s="87"/>
    </row>
    <row r="26" spans="2:3" s="57" customFormat="1" ht="15.75" customHeight="1">
      <c r="B26" s="177" t="s">
        <v>139</v>
      </c>
      <c r="C26" s="79">
        <f>C5</f>
        <v>752.95</v>
      </c>
    </row>
    <row r="27" spans="2:3" s="57" customFormat="1" ht="15.75" customHeight="1">
      <c r="B27" s="177" t="s">
        <v>140</v>
      </c>
      <c r="C27" s="79">
        <f>C5*C6%</f>
        <v>0</v>
      </c>
    </row>
    <row r="28" spans="2:3" s="57" customFormat="1" ht="15.75" customHeight="1">
      <c r="B28" s="60" t="s">
        <v>142</v>
      </c>
      <c r="C28" s="61">
        <f>+C5*C7%</f>
        <v>0</v>
      </c>
    </row>
    <row r="29" spans="2:3" s="47" customFormat="1" ht="15.75" customHeight="1">
      <c r="B29" s="72" t="s">
        <v>213</v>
      </c>
      <c r="C29" s="80">
        <f>SUM(C26:C28)*0.7211</f>
        <v>542.9522450000001</v>
      </c>
    </row>
    <row r="30" spans="2:3" s="47" customFormat="1" ht="15.75" customHeight="1">
      <c r="B30" s="74" t="s">
        <v>214</v>
      </c>
      <c r="C30" s="230">
        <f>C8</f>
        <v>12</v>
      </c>
    </row>
    <row r="31" spans="2:3" s="47" customFormat="1" ht="15.75" customHeight="1">
      <c r="B31" s="76" t="s">
        <v>43</v>
      </c>
      <c r="C31" s="178">
        <f>SUM(C26:C29)</f>
        <v>1295.9022450000002</v>
      </c>
    </row>
    <row r="32" spans="2:3" s="47" customFormat="1" ht="15.75" customHeight="1">
      <c r="B32" s="78" t="s">
        <v>44</v>
      </c>
      <c r="C32" s="179"/>
    </row>
    <row r="33" spans="2:3" s="47" customFormat="1" ht="15.75" customHeight="1">
      <c r="B33" s="60" t="s">
        <v>45</v>
      </c>
      <c r="C33" s="79">
        <f>C10</f>
        <v>20</v>
      </c>
    </row>
    <row r="34" spans="2:3" s="47" customFormat="1" ht="15.75" customHeight="1">
      <c r="B34" s="72" t="s">
        <v>46</v>
      </c>
      <c r="C34" s="80">
        <f>($C$11*22)-(C26*0.06)</f>
        <v>97.82300000000001</v>
      </c>
    </row>
    <row r="35" spans="2:3" s="47" customFormat="1" ht="15.75" customHeight="1">
      <c r="B35" s="72" t="s">
        <v>47</v>
      </c>
      <c r="C35" s="182">
        <f>$C$12*22</f>
        <v>116.6</v>
      </c>
    </row>
    <row r="36" spans="2:3" s="47" customFormat="1" ht="15.75" customHeight="1">
      <c r="B36" s="72" t="s">
        <v>48</v>
      </c>
      <c r="C36" s="80">
        <f>+C13</f>
        <v>0</v>
      </c>
    </row>
    <row r="37" spans="2:4" s="47" customFormat="1" ht="15.75" customHeight="1">
      <c r="B37" s="74" t="s">
        <v>152</v>
      </c>
      <c r="C37" s="80">
        <f>C14</f>
        <v>0</v>
      </c>
      <c r="D37" s="184"/>
    </row>
    <row r="38" spans="2:4" s="47" customFormat="1" ht="15.75" customHeight="1">
      <c r="B38" s="76" t="s">
        <v>52</v>
      </c>
      <c r="C38" s="86">
        <f>SUM(C33:C37)</f>
        <v>234.423</v>
      </c>
      <c r="D38" s="184"/>
    </row>
    <row r="39" spans="2:4" s="47" customFormat="1" ht="15.75" customHeight="1">
      <c r="B39" s="78" t="s">
        <v>53</v>
      </c>
      <c r="C39" s="79"/>
      <c r="D39" s="184"/>
    </row>
    <row r="40" spans="2:4" s="47" customFormat="1" ht="15.75" customHeight="1">
      <c r="B40" s="235" t="s">
        <v>215</v>
      </c>
      <c r="C40" s="79">
        <f>+C16</f>
        <v>0</v>
      </c>
      <c r="D40" s="184"/>
    </row>
    <row r="41" spans="1:12" s="67" customFormat="1" ht="15.75" customHeight="1">
      <c r="A41" s="47"/>
      <c r="B41" s="76" t="s">
        <v>55</v>
      </c>
      <c r="C41" s="83">
        <f>SUM(C40)</f>
        <v>0</v>
      </c>
      <c r="D41" s="184"/>
      <c r="E41" s="47"/>
      <c r="F41" s="47"/>
      <c r="G41" s="47"/>
      <c r="H41" s="47"/>
      <c r="I41" s="47"/>
      <c r="J41" s="47"/>
      <c r="K41" s="47"/>
      <c r="L41" s="47"/>
    </row>
    <row r="42" spans="1:12" s="67" customFormat="1" ht="15.75" customHeight="1">
      <c r="A42" s="47"/>
      <c r="B42" s="54" t="s">
        <v>56</v>
      </c>
      <c r="C42" s="55"/>
      <c r="D42" s="184"/>
      <c r="E42" s="47"/>
      <c r="F42" s="47"/>
      <c r="G42" s="47"/>
      <c r="H42" s="47"/>
      <c r="I42" s="47"/>
      <c r="J42" s="47"/>
      <c r="K42" s="47"/>
      <c r="L42" s="47"/>
    </row>
    <row r="43" spans="2:13" s="67" customFormat="1" ht="15.75" customHeight="1">
      <c r="B43" s="72" t="s">
        <v>216</v>
      </c>
      <c r="C43" s="195">
        <f>(SUM($C$31+$C$38+$C$41))*0.0531</f>
        <v>81.26027050950002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2:13" s="47" customFormat="1" ht="15.75" customHeight="1">
      <c r="B44" s="74" t="s">
        <v>217</v>
      </c>
      <c r="C44" s="195">
        <f>(SUM($C$31+$C$38+$C$41+C43))*0.072</f>
        <v>116.03415711668403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2:13" s="47" customFormat="1" ht="15.75" customHeight="1">
      <c r="B45" s="76" t="s">
        <v>59</v>
      </c>
      <c r="C45" s="86">
        <f>SUM(C43:C44)</f>
        <v>197.29442762618405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2:3" s="47" customFormat="1" ht="15.75" customHeight="1">
      <c r="B46" s="197" t="s">
        <v>218</v>
      </c>
      <c r="C46" s="198"/>
    </row>
    <row r="47" spans="2:3" s="47" customFormat="1" ht="15.75" customHeight="1">
      <c r="B47" s="60" t="s">
        <v>164</v>
      </c>
      <c r="C47" s="79">
        <f>$C$53*0.0065</f>
        <v>12.292860286885823</v>
      </c>
    </row>
    <row r="48" spans="2:4" s="47" customFormat="1" ht="15.75" customHeight="1">
      <c r="B48" s="72" t="s">
        <v>62</v>
      </c>
      <c r="C48" s="80">
        <f>$C$53*0.03</f>
        <v>56.73627824716532</v>
      </c>
      <c r="D48" s="201" t="s">
        <v>63</v>
      </c>
    </row>
    <row r="49" spans="2:4" s="47" customFormat="1" ht="15.75" customHeight="1">
      <c r="B49" s="90" t="str">
        <f>(D48&amp;C18&amp;D49)</f>
        <v>ISSQN - 5 %</v>
      </c>
      <c r="C49" s="80">
        <f>$C$18%*C53</f>
        <v>94.56046374527556</v>
      </c>
      <c r="D49" s="201" t="s">
        <v>165</v>
      </c>
    </row>
    <row r="50" spans="2:5" s="47" customFormat="1" ht="15.75" customHeight="1">
      <c r="B50" s="76" t="s">
        <v>65</v>
      </c>
      <c r="C50" s="206">
        <f>SUM(C47:C49)</f>
        <v>163.5896022793267</v>
      </c>
      <c r="D50" s="57"/>
      <c r="E50" s="57"/>
    </row>
    <row r="51" spans="2:5" s="47" customFormat="1" ht="15.75" customHeight="1">
      <c r="B51" s="91" t="s">
        <v>66</v>
      </c>
      <c r="C51" s="92">
        <f>SUM(C38,C41,C45,C50)</f>
        <v>595.3070299055107</v>
      </c>
      <c r="E51" s="57"/>
    </row>
    <row r="52" spans="2:3" s="47" customFormat="1" ht="15.75" customHeight="1">
      <c r="B52" s="208"/>
      <c r="C52" s="95"/>
    </row>
    <row r="53" spans="2:5" s="47" customFormat="1" ht="15.75" customHeight="1">
      <c r="B53" s="96" t="s">
        <v>166</v>
      </c>
      <c r="C53" s="209">
        <f>SUM(C31,C38,C41,C45)/((100-(3.65+$C$18))/100)</f>
        <v>1891.209274905511</v>
      </c>
      <c r="E53" s="57"/>
    </row>
    <row r="54" spans="2:3" s="47" customFormat="1" ht="15.75" customHeight="1">
      <c r="B54" s="76" t="s">
        <v>219</v>
      </c>
      <c r="C54" s="231">
        <f>(C30*C53)</f>
        <v>22694.51129886613</v>
      </c>
    </row>
    <row r="55" spans="2:12" s="106" customFormat="1" ht="15.75" customHeight="1">
      <c r="B55" s="99" t="s">
        <v>69</v>
      </c>
      <c r="C55" s="100">
        <f>C53/(SUM(C26:C28))</f>
        <v>2.511732883864149</v>
      </c>
      <c r="D55" s="47"/>
      <c r="E55" s="47"/>
      <c r="F55" s="47"/>
      <c r="G55" s="47"/>
      <c r="H55" s="47"/>
      <c r="I55" s="47"/>
      <c r="J55" s="47"/>
      <c r="K55" s="47"/>
      <c r="L55" s="47"/>
    </row>
    <row r="56" spans="2:12" s="115" customFormat="1" ht="15.75" customHeight="1">
      <c r="B56" s="102"/>
      <c r="C56" s="102"/>
      <c r="D56" s="47"/>
      <c r="E56" s="47"/>
      <c r="F56" s="47"/>
      <c r="G56" s="47"/>
      <c r="H56" s="47"/>
      <c r="I56" s="47"/>
      <c r="J56" s="47"/>
      <c r="K56" s="47"/>
      <c r="L56" s="47"/>
    </row>
    <row r="57" spans="2:12" s="115" customFormat="1" ht="15.75" customHeight="1">
      <c r="B57" s="143" t="s">
        <v>70</v>
      </c>
      <c r="C57" s="213"/>
      <c r="E57" s="47"/>
      <c r="F57" s="106"/>
      <c r="G57" s="106"/>
      <c r="H57" s="106"/>
      <c r="I57" s="106"/>
      <c r="J57" s="106"/>
      <c r="K57" s="106"/>
      <c r="L57" s="106"/>
    </row>
    <row r="58" spans="2:5" s="115" customFormat="1" ht="15.75" customHeight="1">
      <c r="B58" s="149"/>
      <c r="C58" s="218"/>
      <c r="D58" s="219"/>
      <c r="E58" s="47"/>
    </row>
    <row r="59" spans="2:5" s="115" customFormat="1" ht="15.75" customHeight="1">
      <c r="B59" s="149" t="s">
        <v>173</v>
      </c>
      <c r="C59" s="218"/>
      <c r="D59" s="219"/>
      <c r="E59" s="47"/>
    </row>
    <row r="60" spans="2:5" s="115" customFormat="1" ht="15.75" customHeight="1">
      <c r="B60" s="220" t="s">
        <v>175</v>
      </c>
      <c r="C60" s="218"/>
      <c r="D60" s="219"/>
      <c r="E60" s="47"/>
    </row>
    <row r="61" spans="2:12" s="47" customFormat="1" ht="15.75" customHeight="1">
      <c r="B61" s="220" t="s">
        <v>220</v>
      </c>
      <c r="C61" s="218"/>
      <c r="D61" s="219"/>
      <c r="F61" s="115"/>
      <c r="G61" s="115"/>
      <c r="H61" s="115"/>
      <c r="I61" s="115"/>
      <c r="J61" s="115"/>
      <c r="K61" s="115"/>
      <c r="L61" s="115"/>
    </row>
    <row r="62" spans="2:12" s="47" customFormat="1" ht="15.75" customHeight="1">
      <c r="B62" s="220" t="s">
        <v>201</v>
      </c>
      <c r="C62" s="218"/>
      <c r="D62" s="219"/>
      <c r="F62" s="115"/>
      <c r="G62" s="115"/>
      <c r="H62" s="115"/>
      <c r="I62" s="115"/>
      <c r="J62" s="115"/>
      <c r="K62" s="115"/>
      <c r="L62" s="115"/>
    </row>
    <row r="63" spans="2:4" s="47" customFormat="1" ht="15.75" customHeight="1">
      <c r="B63" s="149" t="s">
        <v>202</v>
      </c>
      <c r="C63" s="218"/>
      <c r="D63" s="215"/>
    </row>
    <row r="64" spans="2:12" s="115" customFormat="1" ht="15.75" customHeight="1">
      <c r="B64" s="149" t="s">
        <v>203</v>
      </c>
      <c r="C64" s="218"/>
      <c r="D64" s="215"/>
      <c r="E64" s="47"/>
      <c r="F64" s="47"/>
      <c r="G64" s="47"/>
      <c r="H64" s="47"/>
      <c r="I64" s="47"/>
      <c r="J64" s="47"/>
      <c r="K64" s="47"/>
      <c r="L64" s="47"/>
    </row>
    <row r="65" spans="2:4" s="47" customFormat="1" ht="15.75" customHeight="1">
      <c r="B65" s="220" t="s">
        <v>204</v>
      </c>
      <c r="C65" s="218"/>
      <c r="D65" s="215"/>
    </row>
    <row r="66" spans="2:5" s="115" customFormat="1" ht="15.75" customHeight="1">
      <c r="B66" s="149" t="s">
        <v>205</v>
      </c>
      <c r="C66" s="218"/>
      <c r="D66" s="219"/>
      <c r="E66" s="47"/>
    </row>
    <row r="67" spans="2:12" s="106" customFormat="1" ht="15.75" customHeight="1">
      <c r="B67" s="220" t="s">
        <v>236</v>
      </c>
      <c r="C67" s="218"/>
      <c r="D67" s="215"/>
      <c r="E67" s="47"/>
      <c r="F67" s="47"/>
      <c r="G67" s="47"/>
      <c r="H67" s="47"/>
      <c r="I67" s="47"/>
      <c r="J67" s="47"/>
      <c r="K67" s="47"/>
      <c r="L67" s="47"/>
    </row>
    <row r="68" spans="2:12" s="47" customFormat="1" ht="15.75" customHeight="1">
      <c r="B68" s="149" t="s">
        <v>222</v>
      </c>
      <c r="C68" s="218"/>
      <c r="D68" s="219"/>
      <c r="F68" s="115"/>
      <c r="G68" s="115"/>
      <c r="H68" s="115"/>
      <c r="I68" s="115"/>
      <c r="J68" s="115"/>
      <c r="K68" s="115"/>
      <c r="L68" s="115"/>
    </row>
    <row r="69" spans="2:4" s="47" customFormat="1" ht="15.75" customHeight="1">
      <c r="B69" s="149" t="s">
        <v>223</v>
      </c>
      <c r="C69" s="218"/>
      <c r="D69" s="215"/>
    </row>
    <row r="70" spans="2:4" s="47" customFormat="1" ht="15.75" customHeight="1">
      <c r="B70" s="149" t="s">
        <v>224</v>
      </c>
      <c r="C70" s="218"/>
      <c r="D70" s="215"/>
    </row>
    <row r="71" spans="2:12" ht="15.75" customHeight="1">
      <c r="B71" s="217" t="s">
        <v>188</v>
      </c>
      <c r="C71" s="218"/>
      <c r="D71" s="115"/>
      <c r="E71" s="47"/>
      <c r="F71" s="47"/>
      <c r="G71" s="47"/>
      <c r="H71" s="47"/>
      <c r="I71" s="47"/>
      <c r="J71" s="47"/>
      <c r="K71" s="47"/>
      <c r="L71" s="47"/>
    </row>
    <row r="72" spans="2:12" ht="15.75" customHeight="1">
      <c r="B72" s="152" t="s">
        <v>225</v>
      </c>
      <c r="C72" s="226"/>
      <c r="D72" s="47"/>
      <c r="E72" s="47"/>
      <c r="F72" s="47"/>
      <c r="G72" s="47"/>
      <c r="H72" s="47"/>
      <c r="I72" s="47"/>
      <c r="J72" s="47"/>
      <c r="K72" s="47"/>
      <c r="L72" s="47"/>
    </row>
    <row r="73" spans="2:3" ht="15.75" customHeight="1">
      <c r="B73" s="47"/>
      <c r="C73" s="47"/>
    </row>
  </sheetData>
  <sheetProtection sheet="1" objects="1" scenarios="1"/>
  <mergeCells count="8">
    <mergeCell ref="B2:C2"/>
    <mergeCell ref="B3:C3"/>
    <mergeCell ref="B4:C4"/>
    <mergeCell ref="B9:C9"/>
    <mergeCell ref="B15:C15"/>
    <mergeCell ref="B17:C17"/>
    <mergeCell ref="B23:B24"/>
    <mergeCell ref="C23:C24"/>
  </mergeCells>
  <printOptions horizontalCentered="1"/>
  <pageMargins left="0.15763888888888888" right="0.15763888888888888" top="0.5513888888888889" bottom="0.15763888888888888" header="0.5118055555555555" footer="0.5118055555555555"/>
  <pageSetup horizontalDpi="300" verticalDpi="300" orientation="portrait" paperSize="9" scale="75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2011-05-04T18:53:49Z</cp:lastPrinted>
  <dcterms:modified xsi:type="dcterms:W3CDTF">2011-06-07T16:52:41Z</dcterms:modified>
  <cp:category/>
  <cp:version/>
  <cp:contentType/>
  <cp:contentStatus/>
  <cp:revision>3</cp:revision>
</cp:coreProperties>
</file>